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hvmenezes\Desktop\TESTE\PLANILHAS DOS VEÍCULOS\NEW\"/>
    </mc:Choice>
  </mc:AlternateContent>
  <bookViews>
    <workbookView xWindow="0" yWindow="0" windowWidth="20490" windowHeight="7320"/>
  </bookViews>
  <sheets>
    <sheet name="08 passageiros" sheetId="1" r:id="rId1"/>
  </sheets>
  <definedNames>
    <definedName name="_xlnm.Print_Area" localSheetId="0">'08 passageiros'!$A$1:$L$97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1" l="1"/>
  <c r="C92" i="1"/>
  <c r="C91" i="1"/>
  <c r="C89" i="1"/>
  <c r="C83" i="1"/>
  <c r="B52" i="1"/>
  <c r="B44" i="1"/>
  <c r="C66" i="1"/>
  <c r="E24" i="1"/>
  <c r="E20" i="1"/>
  <c r="I20" i="1" s="1"/>
  <c r="C8" i="1"/>
  <c r="F7" i="1"/>
  <c r="F6" i="1"/>
  <c r="C12" i="1"/>
  <c r="F5" i="1" l="1"/>
  <c r="F8" i="1" s="1"/>
  <c r="B12" i="1"/>
  <c r="K12" i="1" s="1"/>
  <c r="F30" i="1" s="1"/>
  <c r="B16" i="1" l="1"/>
  <c r="C16" i="1"/>
  <c r="E16" i="1"/>
  <c r="F54" i="1"/>
  <c r="F38" i="1"/>
  <c r="D16" i="1"/>
  <c r="F46" i="1" l="1"/>
  <c r="F16" i="1"/>
  <c r="F32" i="1" s="1"/>
  <c r="F56" i="1" l="1"/>
  <c r="F58" i="1" s="1"/>
  <c r="F40" i="1"/>
  <c r="F34" i="1"/>
  <c r="F48" i="1" l="1"/>
  <c r="F50" i="1" s="1"/>
  <c r="F42" i="1"/>
</calcChain>
</file>

<file path=xl/comments1.xml><?xml version="1.0" encoding="utf-8"?>
<comments xmlns="http://schemas.openxmlformats.org/spreadsheetml/2006/main">
  <authors>
    <author>SEDU</author>
  </authors>
  <commentList>
    <comment ref="K3" authorId="0" shapeId="0">
      <text>
        <r>
          <rPr>
            <b/>
            <sz val="9"/>
            <color indexed="81"/>
            <rFont val="Segoe UI"/>
            <family val="2"/>
          </rPr>
          <t>SEDU:</t>
        </r>
        <r>
          <rPr>
            <sz val="9"/>
            <color indexed="81"/>
            <rFont val="Segoe UI"/>
            <family val="2"/>
          </rPr>
          <t xml:space="preserve">
Quilometragem diária percorrida por todas as rotas que um veículo executa ao longo de um dia.
Para os casos em que um mesmo veículo executa rotas com quantidade de dias por semana distintos (2, 3 e 5 por exemplo) a SEDU utiliza a quilometragem média diária percorrida pelo veículo no intervalo de uma semana.
       km média = km rota * dias de execução por semana / 5
Ex: Veículo 1
      Rota 1111 com 50 km/dia executada 5 dias por semana
      Rota 2222 com 75 km/dia executada 3 dias por semana
      A quilometragem média diária do Veículo 1 é:
      km = 50 * 5 / 5 + 75 * 3 /5</t>
        </r>
      </text>
    </comment>
    <comment ref="F4" authorId="0" shapeId="0">
      <text>
        <r>
          <rPr>
            <b/>
            <sz val="9"/>
            <color indexed="81"/>
            <rFont val="Segoe UI"/>
            <family val="2"/>
          </rPr>
          <t>SEDU:</t>
        </r>
        <r>
          <rPr>
            <sz val="9"/>
            <color indexed="81"/>
            <rFont val="Segoe UI"/>
            <family val="2"/>
          </rPr>
          <t xml:space="preserve">
Campos calculados de acordo com o KM DIÁRIO, Coeficiente, % tipo de pavimento e dias letivos mês.
</t>
        </r>
      </text>
    </comment>
    <comment ref="G4" authorId="0" shapeId="0">
      <text>
        <r>
          <rPr>
            <b/>
            <sz val="9"/>
            <color indexed="81"/>
            <rFont val="Segoe UI"/>
            <family val="2"/>
          </rPr>
          <t>SEDU:</t>
        </r>
        <r>
          <rPr>
            <sz val="9"/>
            <color indexed="81"/>
            <rFont val="Segoe UI"/>
            <family val="2"/>
          </rPr>
          <t xml:space="preserve">
O coeficiente é o multiplicador do valor da quilometragem para considerar um incremento do custo variável do veículo para casos em que o mesmo trafega em vias não pavimentadas (poliedro e terra).
Ex: A SESU considera que a quilometragem percorrida em vias de pavimento poliedro tem um acréscimo de 18% no custo variável em relação ao pavimento asfalto, já para o pavimento de terra o acréscimo é de 35%.
</t>
        </r>
      </text>
    </comment>
    <comment ref="H4" authorId="0" shapeId="0">
      <text>
        <r>
          <rPr>
            <b/>
            <sz val="9"/>
            <color indexed="81"/>
            <rFont val="Segoe UI"/>
            <family val="2"/>
          </rPr>
          <t>SEDU:</t>
        </r>
        <r>
          <rPr>
            <sz val="9"/>
            <color indexed="81"/>
            <rFont val="Segoe UI"/>
            <family val="2"/>
          </rPr>
          <t xml:space="preserve">
O usuário deve informar a porcentagem de cada pavimento que o veículo irá percorrer ao executar as rotas.
Ex: Se um veículo roda metade da rota em pavimento asfalto e metada em pavimento terra, devem ser informadas as seguintes porcentagens:
Asfalto: 50%
Poliedro: 0
Terra: 50%</t>
        </r>
      </text>
    </comment>
    <comment ref="B8" authorId="0" shapeId="0">
      <text>
        <r>
          <rPr>
            <b/>
            <sz val="9"/>
            <color indexed="81"/>
            <rFont val="Segoe UI"/>
            <family val="2"/>
          </rPr>
          <t>SEDU:</t>
        </r>
        <r>
          <rPr>
            <sz val="9"/>
            <color indexed="81"/>
            <rFont val="Segoe UI"/>
            <family val="2"/>
          </rPr>
          <t xml:space="preserve">
Campo calculado de acordo com o coeficiente de consumo de combustível.</t>
        </r>
      </text>
    </comment>
    <comment ref="B11" authorId="0" shapeId="0">
      <text>
        <r>
          <rPr>
            <b/>
            <sz val="9"/>
            <color indexed="81"/>
            <rFont val="Segoe UI"/>
            <family val="2"/>
          </rPr>
          <t>SEDU:</t>
        </r>
        <r>
          <rPr>
            <sz val="9"/>
            <color indexed="81"/>
            <rFont val="Segoe UI"/>
            <family val="2"/>
          </rPr>
          <t xml:space="preserve">
A remuneração de capital é a remuneração pelo capital investido na aquisição do veículo.
Remuneração de capital = valor do veículo - (quantidade de pneus * valor do pneu) * % remuneração de capital mensal
</t>
        </r>
      </text>
    </comment>
    <comment ref="C11" authorId="0" shapeId="0">
      <text>
        <r>
          <rPr>
            <b/>
            <sz val="9"/>
            <color indexed="81"/>
            <rFont val="Segoe UI"/>
            <family val="2"/>
          </rPr>
          <t>SEDU:</t>
        </r>
        <r>
          <rPr>
            <sz val="9"/>
            <color indexed="81"/>
            <rFont val="Segoe UI"/>
            <family val="2"/>
          </rPr>
          <t xml:space="preserve">
Depreciação = (valor do veículo - (quantidade de pneus * valor do pneu) * (1 - valor residual %)) / vida útil veículo * 12
</t>
        </r>
      </text>
    </comment>
    <comment ref="D11" authorId="0" shapeId="0">
      <text>
        <r>
          <rPr>
            <b/>
            <sz val="9"/>
            <color indexed="81"/>
            <rFont val="Segoe UI"/>
            <family val="2"/>
          </rPr>
          <t>SEDU:</t>
        </r>
        <r>
          <rPr>
            <sz val="9"/>
            <color indexed="81"/>
            <rFont val="Segoe UI"/>
            <family val="2"/>
          </rPr>
          <t xml:space="preserve">
Certificado de Registro e Licenciamento de Veículos (CRLV).</t>
        </r>
      </text>
    </comment>
    <comment ref="E11" authorId="0" shapeId="0">
      <text>
        <r>
          <rPr>
            <b/>
            <sz val="9"/>
            <color indexed="81"/>
            <rFont val="Segoe UI"/>
            <family val="2"/>
          </rPr>
          <t>SEDU:</t>
        </r>
        <r>
          <rPr>
            <sz val="9"/>
            <color indexed="81"/>
            <rFont val="Segoe UI"/>
            <family val="2"/>
          </rPr>
          <t xml:space="preserve">
Seguro de Danos Pessoais Causados por Veículos Automotores de Vias Terrestres(DPVAT).</t>
        </r>
      </text>
    </comment>
    <comment ref="F11" authorId="0" shapeId="0">
      <text>
        <r>
          <rPr>
            <b/>
            <sz val="9"/>
            <color indexed="81"/>
            <rFont val="Segoe UI"/>
            <family val="2"/>
          </rPr>
          <t>SEDU:</t>
        </r>
        <r>
          <rPr>
            <sz val="9"/>
            <color indexed="81"/>
            <rFont val="Segoe UI"/>
            <family val="2"/>
          </rPr>
          <t xml:space="preserve">
Imposto sobre a Propriedade de Veículos Automotores (IPVA).</t>
        </r>
      </text>
    </comment>
    <comment ref="G11" authorId="0" shapeId="0">
      <text>
        <r>
          <rPr>
            <b/>
            <sz val="9"/>
            <color indexed="81"/>
            <rFont val="Segoe UI"/>
            <family val="2"/>
          </rPr>
          <t>SEDU:</t>
        </r>
        <r>
          <rPr>
            <sz val="9"/>
            <color indexed="81"/>
            <rFont val="Segoe UI"/>
            <family val="2"/>
          </rPr>
          <t xml:space="preserve">
Custo com inspeção e discos do tacógrafo, uma inspeção a cada dois anos.</t>
        </r>
      </text>
    </comment>
    <comment ref="H11" authorId="0" shapeId="0">
      <text>
        <r>
          <rPr>
            <b/>
            <sz val="9"/>
            <color indexed="81"/>
            <rFont val="Segoe UI"/>
            <family val="2"/>
          </rPr>
          <t>SEDU:</t>
        </r>
        <r>
          <rPr>
            <sz val="9"/>
            <color indexed="81"/>
            <rFont val="Segoe UI"/>
            <family val="2"/>
          </rPr>
          <t xml:space="preserve">
Vistoria do DETRAN realizada em Instituição Técnica Licenciada (ITL), duas vezes ao ano. </t>
        </r>
      </text>
    </comment>
    <comment ref="I11" authorId="0" shapeId="0">
      <text>
        <r>
          <rPr>
            <b/>
            <sz val="9"/>
            <color indexed="81"/>
            <rFont val="Segoe UI"/>
            <family val="2"/>
          </rPr>
          <t>SEDU:</t>
        </r>
        <r>
          <rPr>
            <sz val="9"/>
            <color indexed="81"/>
            <rFont val="Segoe UI"/>
            <family val="2"/>
          </rPr>
          <t xml:space="preserve">
Contratação de aparelhos GPS para rastreamento e monitoramento dos veículos.
AINDA NÃO ESTÁ EM USO PELA SEDU</t>
        </r>
      </text>
    </comment>
    <comment ref="J11" authorId="0" shapeId="0">
      <text>
        <r>
          <rPr>
            <b/>
            <sz val="9"/>
            <color indexed="81"/>
            <rFont val="Segoe UI"/>
            <family val="2"/>
          </rPr>
          <t>SEDU:</t>
        </r>
        <r>
          <rPr>
            <sz val="9"/>
            <color indexed="81"/>
            <rFont val="Segoe UI"/>
            <family val="2"/>
          </rPr>
          <t xml:space="preserve">
Contratação de seguro dos veículos. Em caso de acidente, cobertura para  tripulação, passageiros e terceiros ou somente para passageiros (APP).</t>
        </r>
      </text>
    </comment>
    <comment ref="B14" authorId="0" shapeId="0">
      <text>
        <r>
          <rPr>
            <b/>
            <sz val="9"/>
            <color indexed="81"/>
            <rFont val="Segoe UI"/>
            <family val="2"/>
          </rPr>
          <t>SEDU:</t>
        </r>
        <r>
          <rPr>
            <sz val="9"/>
            <color indexed="81"/>
            <rFont val="Segoe UI"/>
            <family val="2"/>
          </rPr>
          <t xml:space="preserve">
Custos variáveis calculados de acordo com os coeficientes de consumo informado.</t>
        </r>
      </text>
    </comment>
    <comment ref="H14" authorId="0" shapeId="0">
      <text>
        <r>
          <rPr>
            <b/>
            <sz val="9"/>
            <color indexed="81"/>
            <rFont val="Segoe UI"/>
            <family val="2"/>
          </rPr>
          <t>SEDU:</t>
        </r>
        <r>
          <rPr>
            <sz val="9"/>
            <color indexed="81"/>
            <rFont val="Segoe UI"/>
            <family val="2"/>
          </rPr>
          <t xml:space="preserve">
Coeficientes de consumo apurados pela UFMG.</t>
        </r>
      </text>
    </comment>
    <comment ref="G23" authorId="0" shapeId="0">
      <text>
        <r>
          <rPr>
            <b/>
            <sz val="9"/>
            <color indexed="81"/>
            <rFont val="Segoe UI"/>
            <family val="2"/>
          </rPr>
          <t>SEDU:</t>
        </r>
        <r>
          <rPr>
            <sz val="9"/>
            <color indexed="81"/>
            <rFont val="Segoe UI"/>
            <family val="2"/>
          </rPr>
          <t xml:space="preserve">
A % da despesa adminsistrativa é adicionada ao valor total dos custos fixos e variáveis sem tributação.
Como despesa administrativa são consideradas despesas tais como: Água, Luz, Telefone, Internet, Aluguel de garagem, contador e etc.</t>
        </r>
      </text>
    </comment>
    <comment ref="H23" authorId="0" shapeId="0">
      <text>
        <r>
          <rPr>
            <b/>
            <sz val="9"/>
            <color indexed="81"/>
            <rFont val="Segoe UI"/>
            <family val="2"/>
          </rPr>
          <t>SEDU:</t>
        </r>
        <r>
          <rPr>
            <sz val="9"/>
            <color indexed="81"/>
            <rFont val="Segoe UI"/>
            <family val="2"/>
          </rPr>
          <t xml:space="preserve">
A remuneração de capital é a remuneração pelo capital investido na aquisição do veículo.</t>
        </r>
      </text>
    </comment>
    <comment ref="I23" authorId="0" shapeId="0">
      <text>
        <r>
          <rPr>
            <b/>
            <sz val="9"/>
            <color indexed="81"/>
            <rFont val="Segoe UI"/>
            <family val="2"/>
          </rPr>
          <t>SEDU:</t>
        </r>
        <r>
          <rPr>
            <sz val="9"/>
            <color indexed="81"/>
            <rFont val="Segoe UI"/>
            <family val="2"/>
          </rPr>
          <t xml:space="preserve">
Vida útil do veículo é a estimativa do tempo, em anos, que o veículo estará apto a ser utilizado para realizar transporte.</t>
        </r>
      </text>
    </comment>
    <comment ref="J23" authorId="0" shapeId="0">
      <text>
        <r>
          <rPr>
            <b/>
            <sz val="9"/>
            <color indexed="81"/>
            <rFont val="Segoe UI"/>
            <family val="2"/>
          </rPr>
          <t>SEDU:</t>
        </r>
        <r>
          <rPr>
            <sz val="9"/>
            <color indexed="81"/>
            <rFont val="Segoe UI"/>
            <family val="2"/>
          </rPr>
          <t xml:space="preserve">
O valor residual é o que um bem vale ao final da sua vida útil, ou no decorrer dela, baseado nos cálculos da depreciação deste bem. </t>
        </r>
      </text>
    </comment>
    <comment ref="K23" authorId="0" shapeId="0">
      <text>
        <r>
          <rPr>
            <b/>
            <sz val="9"/>
            <color indexed="81"/>
            <rFont val="Segoe UI"/>
            <family val="2"/>
          </rPr>
          <t>SEDU:</t>
        </r>
        <r>
          <rPr>
            <sz val="9"/>
            <color indexed="81"/>
            <rFont val="Segoe UI"/>
            <family val="2"/>
          </rPr>
          <t xml:space="preserve">
Considerando que a inspeção do equipamento tacógrafo não é realizada em todos os municípios do Estado. A SEDU se propos a incluir essa quilometragem em seus cálculos para remunerar os transportadores.
Deve definir a quilometragem necessária para realizar a inspeção e diluir a mesma de forma mensal.</t>
        </r>
      </text>
    </comment>
  </commentList>
</comments>
</file>

<file path=xl/sharedStrings.xml><?xml version="1.0" encoding="utf-8"?>
<sst xmlns="http://schemas.openxmlformats.org/spreadsheetml/2006/main" count="147" uniqueCount="124">
  <si>
    <t>PLANILHA DE CUSTO ESPECÍFICO - ROTA(S) 20202955024 - VEÍCULO PARA 08 PASSAGEIROS</t>
  </si>
  <si>
    <t>Veículo</t>
  </si>
  <si>
    <t>QUILOMETRAGEM* (Mensal)</t>
  </si>
  <si>
    <t>KM DIÁRIO</t>
  </si>
  <si>
    <t>Valor do Veículo</t>
  </si>
  <si>
    <t>Piso</t>
  </si>
  <si>
    <t>Km</t>
  </si>
  <si>
    <t>Coeficientes</t>
  </si>
  <si>
    <t>% Tipo de Pavimento</t>
  </si>
  <si>
    <t>Preço do Combustível</t>
  </si>
  <si>
    <t>Asfalto</t>
  </si>
  <si>
    <t>Número de Pneus</t>
  </si>
  <si>
    <t>Poliedro</t>
  </si>
  <si>
    <t>Dias Letivos*</t>
  </si>
  <si>
    <t>Dias</t>
  </si>
  <si>
    <t>Preço do Pneu</t>
  </si>
  <si>
    <t>Terra</t>
  </si>
  <si>
    <t>Ano</t>
  </si>
  <si>
    <t>Consumo Combustível (km/l)</t>
  </si>
  <si>
    <t>TOTAL*</t>
  </si>
  <si>
    <t>Mês</t>
  </si>
  <si>
    <t>CUSTO FIXO MENSAL VEÍCULO (sem tributação)</t>
  </si>
  <si>
    <t>Remuneração do Capital</t>
  </si>
  <si>
    <t>Depreciação do veículo</t>
  </si>
  <si>
    <t>CRLV</t>
  </si>
  <si>
    <t>DPVAT</t>
  </si>
  <si>
    <t>IPVA</t>
  </si>
  <si>
    <t>Tacógrafo</t>
  </si>
  <si>
    <t>Vistoria
DETRAN/ITL</t>
  </si>
  <si>
    <t>GPS</t>
  </si>
  <si>
    <t>Seguro</t>
  </si>
  <si>
    <t>Total</t>
  </si>
  <si>
    <t>CUSTO VARIÁVEL MENSAL VEÍCULO (sem tributação)</t>
  </si>
  <si>
    <t>COEFICIENTES DE CONSUMO VEÍCULO/ KM</t>
  </si>
  <si>
    <t>Combustível</t>
  </si>
  <si>
    <t>Lubrificantes</t>
  </si>
  <si>
    <t>Rodagem</t>
  </si>
  <si>
    <t>Manutenção</t>
  </si>
  <si>
    <t>CUSTO FIXO MENSAL PESSOAL (sem tributação)</t>
  </si>
  <si>
    <t>Salário
Motorista</t>
  </si>
  <si>
    <t>Salário
Monitor</t>
  </si>
  <si>
    <t>Encargos
(%)</t>
  </si>
  <si>
    <t>Encargos
(R$)</t>
  </si>
  <si>
    <t>Ticket/Vale Alimentação</t>
  </si>
  <si>
    <t>Plano de Saúde</t>
  </si>
  <si>
    <t>Seguro de Vida</t>
  </si>
  <si>
    <t>TRIBUTAÇÃO (%)</t>
  </si>
  <si>
    <t>OUTROS</t>
  </si>
  <si>
    <t>PIS</t>
  </si>
  <si>
    <t>COFINS</t>
  </si>
  <si>
    <t>ISS</t>
  </si>
  <si>
    <t>TOTAL</t>
  </si>
  <si>
    <t>Despesas
Administrativa (% mensal)</t>
  </si>
  <si>
    <t>Remuneração Capital 
(% mensal)</t>
  </si>
  <si>
    <t>Vida Útil Veículo (anos)</t>
  </si>
  <si>
    <t>Valor Residual Veículo (%)</t>
  </si>
  <si>
    <t xml:space="preserve">km mensal* Inspeção Tacógrafo </t>
  </si>
  <si>
    <t>CUSTO POR KM</t>
  </si>
  <si>
    <t>CUSTO FIXO</t>
  </si>
  <si>
    <t>CUSTO VARIÁVEL</t>
  </si>
  <si>
    <t>CUSTO TOTAL</t>
  </si>
  <si>
    <t>CUSTO POR DIA LETIVO</t>
  </si>
  <si>
    <t>ESTRUTURA DE CÁLCULO</t>
  </si>
  <si>
    <t>Valor do Veículo:</t>
  </si>
  <si>
    <t>Tipo do Veículo</t>
  </si>
  <si>
    <t>Preço do Combustível:</t>
  </si>
  <si>
    <t>Preço do Pneu:</t>
  </si>
  <si>
    <t>Remuneração do Capital:</t>
  </si>
  <si>
    <t>(Valor veículo - número de pneus * valor de pneus) * % Remuneração de capital mensal</t>
  </si>
  <si>
    <t>Valor Residual do Veículo:</t>
  </si>
  <si>
    <t>Depreciação do Veículo:</t>
  </si>
  <si>
    <t>((Valor veículo - número de pneus * valor de pneus) * (1 - valor residual veículo)) / (vida útil do veículo * 12)  Obs: Método linear.</t>
  </si>
  <si>
    <t>CRLV:</t>
  </si>
  <si>
    <t>Certificado de Registro e Licenciamento de Veículos (CRLV).</t>
  </si>
  <si>
    <t>DPVAT:</t>
  </si>
  <si>
    <t>Seguro de Danos Pessoais Causados por Veículos Automotores de Vias Terrestres(DPVAT).</t>
  </si>
  <si>
    <t>IPVA:</t>
  </si>
  <si>
    <t>Imposto sobre a Propriedade de Veículos Automotores (IPVA).</t>
  </si>
  <si>
    <t>Vistoria DETRAN</t>
  </si>
  <si>
    <t xml:space="preserve">Vistoria do DETRAN que pode ser executada por profissional com  registro no Conselho Regional de Engenharia e Agronomia do Estado do Espírito Santo -CREA/ES, ficando neste caso dispensada da obrigação de realização de vistoria em ITL. </t>
  </si>
  <si>
    <t>Tacógrafo:</t>
  </si>
  <si>
    <t>Custo com inspeção e discos do tacógrafo, uma inspeção a cada dois anos.</t>
  </si>
  <si>
    <t>GPS:</t>
  </si>
  <si>
    <t>Contratação de aparelhos GPS para rastreamento e monitoramento dos veículos.</t>
  </si>
  <si>
    <t>Seguro:</t>
  </si>
  <si>
    <t>Contratação de seguro dos veículos. Em caso de acidente, cobertura para  tripulação, passageiros e terceiros ou somente para passageiros (APP).</t>
  </si>
  <si>
    <t>Km Mensal:</t>
  </si>
  <si>
    <r>
      <t xml:space="preserve">Somatório do limite da faixa de km rodada, considerando a % de cada tipo de pavimento no percurso diário, observando o coeficiente adotado conforme o tipo de piso de rolamento. </t>
    </r>
    <r>
      <rPr>
        <b/>
        <sz val="11"/>
        <color rgb="FFFF0000"/>
        <rFont val="Calibri"/>
        <family val="2"/>
        <scheme val="minor"/>
      </rPr>
      <t>Para veículos que executam rotas com menos dias letivos (Ex: EJA e APAE/Pestalozzi) é utilizada a média da quilometragem diária no período de uma semana nas rotas/turnos em questão.</t>
    </r>
  </si>
  <si>
    <t>Km Mensal da Inspeção do Tacógrafo:</t>
  </si>
  <si>
    <t>Quilometragem para realizar inspeção do tacógrafo, a cada dois anos, em local certificado. Para efeito de cálculo de custo, a quilometragem é diluída de forma mensal.</t>
  </si>
  <si>
    <t>Estimativa de dias letivos anual e mensal.</t>
  </si>
  <si>
    <t>Salário do Motorista:</t>
  </si>
  <si>
    <t>Valor referência - Convenção Coletiva de Trabalho - SETPES.</t>
  </si>
  <si>
    <t>Salário do Monitor:</t>
  </si>
  <si>
    <t>Ticket/Vale Alimentação:</t>
  </si>
  <si>
    <t>Plano de Saúde:</t>
  </si>
  <si>
    <t>Seguro de Vida:</t>
  </si>
  <si>
    <t>Encargos Trabalhistas e Sociais:</t>
  </si>
  <si>
    <t>Coeficientes de Consumo:</t>
  </si>
  <si>
    <t>Coeficientes de consumo apurados por estudo da Universidade Federal de Minas Gerais - UFMG.</t>
  </si>
  <si>
    <t>Custo com Combustível:</t>
  </si>
  <si>
    <t>Preço do litro de combustível * Fator de consumo combustível * (Quilometragem mensal + quilometragem mensal da inspeção do tacógrafo).</t>
  </si>
  <si>
    <t>Custo com Lubrificantes:</t>
  </si>
  <si>
    <t>Preço do litro de combustível * Fator de consumo lubrificantes * (Quilometragem mensal + quilometragem mensal da inspeção do tacógrafo).</t>
  </si>
  <si>
    <t>Custo com Rodagem</t>
  </si>
  <si>
    <t>Preço do pneu * Fator de consumo de pneus * (Quilometragem mensal + quilometragem mensal da inspeção do tacógrafo).</t>
  </si>
  <si>
    <t>Custo com Manutenção:</t>
  </si>
  <si>
    <t>Preço do veículo * Fator de consumo com manutenção * (Quilometragem mensal + quilometragem mensal da inspeção do tacógrafo).</t>
  </si>
  <si>
    <t>Despesa Administrativa</t>
  </si>
  <si>
    <t>Total sem Tributação:</t>
  </si>
  <si>
    <t>(Total do Custo Fixo + Total do Custo Variável)*(1+Despesa Administrativa).</t>
  </si>
  <si>
    <t>PIS:</t>
  </si>
  <si>
    <t>COFINS:</t>
  </si>
  <si>
    <t>ISS:</t>
  </si>
  <si>
    <t>Total com Tributação:</t>
  </si>
  <si>
    <t>Total sem Tributação * (1 + Tributação Incidente).</t>
  </si>
  <si>
    <t>Custo Fixo/km:</t>
  </si>
  <si>
    <t>((Custo Fixo do Veículo + Custo Fixo Pessoal) * (1+Despesa Administrativa)* (1+Tributação))  / (quilometragem diária * dias letivos mês).</t>
  </si>
  <si>
    <t>Custo Variável/km:</t>
  </si>
  <si>
    <t>((Custo Variável do Veículo) * (1+Despesa Administrativa)* (1+Tributação))  / (quilometragem diária * dias letivos mês).</t>
  </si>
  <si>
    <t>Custo Total por Km:</t>
  </si>
  <si>
    <t>(Custo Fixo/km) + (Custo Variável/km).</t>
  </si>
  <si>
    <t>xxxxxx</t>
  </si>
  <si>
    <t>08 passageiros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</si>
</sst>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R$&quot;\ * #,##0.00_-;\-&quot;R$&quot;\ * #,##0.00_-;_-&quot;R$&quot;\ * &quot;-&quot;??_-;_-@_-"/>
    <numFmt numFmtId="43" formatCode="_-* #,##0.00_-;\-* #,##0.00_-;_-* &quot;-&quot;??_-;_-@_-"/>
    <numFmt numFmtId="164" formatCode="&quot;R$&quot;\ #,##0.00"/>
    <numFmt numFmtId="165" formatCode="#,##0.0"/>
    <numFmt numFmtId="166" formatCode="0.0%"/>
    <numFmt numFmtId="167" formatCode="_-* #,##0.000000000000_-;\-* #,##0.000000000000_-;_-* &quot;-&quot;??_-;_-@_-"/>
    <numFmt numFmtId="168" formatCode="0.000000"/>
    <numFmt numFmtId="169" formatCode="&quot;R$&quot;#,##0.00"/>
    <numFmt numFmtId="170" formatCode="_-&quot;R$&quot;\ * #,##0.00000_-;\-&quot;R$&quot;\ * #,##0.00000_-;_-&quot;R$&quot;\ * &quot;-&quot;??_-;_-@_-"/>
    <numFmt numFmtId="171" formatCode="&quot;R$&quot;\ #,##0.0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1"/>
      <name val="Calibri"/>
      <family val="2"/>
      <scheme val="minor"/>
    </font>
    <font>
      <sz val="11"/>
      <color theme="1"/>
      <name val="Calibri"/>
      <family val="2"/>
    </font>
    <font>
      <b/>
      <sz val="11"/>
      <color rgb="FFFF0000"/>
      <name val="Calibri"/>
      <family val="2"/>
      <scheme val="minor"/>
    </font>
    <font>
      <b/>
      <sz val="9"/>
      <color indexed="81"/>
      <name val="Segoe UI"/>
      <family val="2"/>
    </font>
    <font>
      <sz val="9"/>
      <color indexed="81"/>
      <name val="Segoe UI"/>
      <family val="2"/>
    </font>
  </fonts>
  <fills count="12">
    <fill>
      <patternFill patternType="none"/>
    </fill>
    <fill>
      <patternFill patternType="gray125"/>
    </fill>
    <fill>
      <patternFill patternType="solid">
        <fgColor rgb="FF00B0F0"/>
        <bgColor theme="8"/>
      </patternFill>
    </fill>
    <fill>
      <patternFill patternType="solid">
        <fgColor rgb="FF00B0F0"/>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s>
  <borders count="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top/>
      <bottom style="medium">
        <color theme="0" tint="-0.14999847407452621"/>
      </bottom>
      <diagonal/>
    </border>
    <border>
      <left/>
      <right/>
      <top/>
      <bottom style="medium">
        <color indexed="64"/>
      </bottom>
      <diagonal/>
    </border>
    <border>
      <left/>
      <right/>
      <top style="medium">
        <color theme="0" tint="-0.1499984740745262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2" fillId="2"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ill="1" applyBorder="1" applyAlignment="1">
      <alignment horizontal="center" vertical="center"/>
    </xf>
    <xf numFmtId="9" fontId="0" fillId="0" borderId="0" xfId="3" applyFont="1" applyAlignment="1">
      <alignment horizontal="center" vertical="center"/>
    </xf>
    <xf numFmtId="1" fontId="0" fillId="4" borderId="1" xfId="0" applyNumberFormat="1" applyFont="1" applyFill="1" applyBorder="1" applyAlignment="1" applyProtection="1">
      <alignment horizontal="center" vertical="center"/>
      <protection locked="0"/>
    </xf>
    <xf numFmtId="1" fontId="0" fillId="0" borderId="1" xfId="0" applyNumberFormat="1" applyFont="1" applyFill="1" applyBorder="1" applyAlignment="1" applyProtection="1">
      <alignment horizontal="center" vertical="center"/>
      <protection locked="0"/>
    </xf>
    <xf numFmtId="166" fontId="0" fillId="0" borderId="0" xfId="3" applyNumberFormat="1" applyFont="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167" fontId="0" fillId="0" borderId="0" xfId="1" applyNumberFormat="1" applyFont="1" applyAlignment="1">
      <alignment horizontal="center" vertical="center"/>
    </xf>
    <xf numFmtId="2" fontId="0" fillId="0" borderId="0" xfId="0" applyNumberFormat="1" applyAlignment="1">
      <alignment horizontal="center" vertical="center"/>
    </xf>
    <xf numFmtId="0" fontId="2" fillId="2" borderId="1" xfId="0" applyFont="1" applyFill="1" applyBorder="1" applyAlignment="1">
      <alignment horizontal="center" vertical="center" wrapText="1"/>
    </xf>
    <xf numFmtId="168" fontId="7" fillId="0" borderId="1" xfId="0" applyNumberFormat="1" applyFont="1" applyFill="1" applyBorder="1" applyAlignment="1">
      <alignment horizontal="center" vertical="center"/>
    </xf>
    <xf numFmtId="44" fontId="0" fillId="0" borderId="0" xfId="0" applyNumberFormat="1" applyAlignment="1">
      <alignment horizontal="center" vertical="center" wrapText="1"/>
    </xf>
    <xf numFmtId="4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ill="1" applyBorder="1" applyAlignment="1">
      <alignment horizontal="center" vertical="center"/>
    </xf>
    <xf numFmtId="168" fontId="0" fillId="0" borderId="0" xfId="0" applyNumberFormat="1" applyAlignment="1">
      <alignment horizontal="center" vertical="center"/>
    </xf>
    <xf numFmtId="0" fontId="2" fillId="0" borderId="0" xfId="0" applyFont="1" applyAlignment="1">
      <alignment horizontal="center" vertical="center" wrapText="1"/>
    </xf>
    <xf numFmtId="169" fontId="2" fillId="0" borderId="0" xfId="0" applyNumberFormat="1" applyFont="1" applyAlignment="1">
      <alignment horizontal="center" vertical="center" wrapText="1"/>
    </xf>
    <xf numFmtId="169" fontId="2" fillId="5" borderId="0" xfId="2" applyNumberFormat="1" applyFont="1" applyFill="1" applyBorder="1" applyAlignment="1">
      <alignment horizontal="center" vertical="center" wrapText="1"/>
    </xf>
    <xf numFmtId="0" fontId="2" fillId="0" borderId="0" xfId="0" applyFont="1" applyBorder="1" applyAlignment="1">
      <alignment horizontal="left" vertical="center" wrapText="1"/>
    </xf>
    <xf numFmtId="169" fontId="6" fillId="0" borderId="0" xfId="0" applyNumberFormat="1" applyFont="1" applyBorder="1" applyAlignment="1">
      <alignment horizontal="center" vertical="center" wrapText="1"/>
    </xf>
    <xf numFmtId="9" fontId="0" fillId="0" borderId="0" xfId="3" applyFont="1" applyAlignment="1">
      <alignment horizontal="center" vertical="center" wrapText="1"/>
    </xf>
    <xf numFmtId="166" fontId="0" fillId="0" borderId="0" xfId="3" applyNumberFormat="1" applyFont="1" applyAlignment="1">
      <alignment horizontal="center" vertical="center" wrapText="1"/>
    </xf>
    <xf numFmtId="170" fontId="0" fillId="0" borderId="0" xfId="0" applyNumberFormat="1" applyAlignment="1">
      <alignment horizontal="center" vertical="center" wrapText="1"/>
    </xf>
    <xf numFmtId="0" fontId="0" fillId="0" borderId="0" xfId="0" applyAlignment="1">
      <alignment horizontal="left" vertical="center"/>
    </xf>
    <xf numFmtId="169" fontId="2" fillId="0" borderId="0"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166" fontId="0" fillId="0" borderId="0" xfId="3" applyNumberFormat="1" applyFont="1" applyAlignment="1">
      <alignment vertical="center" wrapText="1"/>
    </xf>
    <xf numFmtId="0" fontId="2" fillId="0" borderId="0" xfId="0" applyFont="1" applyAlignment="1">
      <alignment horizontal="left" vertical="center" wrapText="1"/>
    </xf>
    <xf numFmtId="169" fontId="2" fillId="6" borderId="0"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9" fontId="0" fillId="0" borderId="0" xfId="3" applyFont="1" applyAlignment="1">
      <alignment vertical="center" wrapText="1"/>
    </xf>
    <xf numFmtId="169" fontId="2" fillId="6" borderId="0" xfId="2" applyNumberFormat="1" applyFont="1" applyFill="1" applyBorder="1" applyAlignment="1">
      <alignment horizontal="center" vertical="center" wrapText="1"/>
    </xf>
    <xf numFmtId="170" fontId="0" fillId="0" borderId="0" xfId="0" applyNumberFormat="1" applyAlignment="1">
      <alignment vertical="center" wrapText="1"/>
    </xf>
    <xf numFmtId="164" fontId="0" fillId="0" borderId="0" xfId="0" applyNumberFormat="1" applyAlignment="1">
      <alignment vertical="center" wrapText="1"/>
    </xf>
    <xf numFmtId="171" fontId="0" fillId="0" borderId="0" xfId="0" applyNumberFormat="1" applyAlignment="1">
      <alignment horizontal="center" vertical="center" wrapText="1"/>
    </xf>
    <xf numFmtId="169" fontId="2" fillId="7" borderId="0" xfId="0" applyNumberFormat="1" applyFont="1" applyFill="1" applyBorder="1" applyAlignment="1">
      <alignment horizontal="center" vertical="center" wrapText="1"/>
    </xf>
    <xf numFmtId="169" fontId="2" fillId="7" borderId="0" xfId="2" applyNumberFormat="1" applyFont="1" applyFill="1" applyBorder="1" applyAlignment="1">
      <alignment horizontal="center" vertical="center" wrapText="1"/>
    </xf>
    <xf numFmtId="169" fontId="2" fillId="8" borderId="0" xfId="2" applyNumberFormat="1" applyFont="1" applyFill="1" applyBorder="1" applyAlignment="1">
      <alignment horizontal="center" vertical="center" wrapText="1"/>
    </xf>
    <xf numFmtId="44" fontId="0" fillId="0" borderId="0" xfId="0" applyNumberFormat="1" applyAlignment="1">
      <alignment vertical="center" wrapText="1"/>
    </xf>
    <xf numFmtId="0" fontId="3" fillId="0" borderId="4" xfId="0" applyFont="1" applyBorder="1" applyAlignment="1">
      <alignment vertical="center"/>
    </xf>
    <xf numFmtId="0" fontId="0" fillId="0" borderId="4" xfId="0" applyBorder="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9" fontId="0" fillId="0" borderId="0" xfId="0" applyNumberFormat="1" applyFont="1" applyAlignment="1">
      <alignment horizontal="left" vertical="center"/>
    </xf>
    <xf numFmtId="0" fontId="0" fillId="0" borderId="0" xfId="0" applyFont="1" applyAlignment="1">
      <alignment vertical="center" wrapText="1"/>
    </xf>
    <xf numFmtId="10" fontId="0" fillId="0" borderId="0" xfId="0" applyNumberFormat="1" applyFont="1" applyAlignment="1">
      <alignment horizontal="left" vertical="center"/>
    </xf>
    <xf numFmtId="0" fontId="0" fillId="0" borderId="0" xfId="0" applyFont="1" applyAlignment="1">
      <alignment horizontal="left" vertical="center" wrapText="1"/>
    </xf>
    <xf numFmtId="0" fontId="3" fillId="0" borderId="4" xfId="0" applyFont="1" applyBorder="1" applyAlignment="1">
      <alignment vertical="center" wrapText="1"/>
    </xf>
    <xf numFmtId="0" fontId="0" fillId="0" borderId="4" xfId="0" applyFont="1" applyBorder="1" applyAlignment="1">
      <alignment vertical="center"/>
    </xf>
    <xf numFmtId="0" fontId="0" fillId="0" borderId="4" xfId="0" applyFont="1" applyBorder="1" applyAlignment="1">
      <alignment horizontal="left" vertical="center" wrapText="1"/>
    </xf>
    <xf numFmtId="0" fontId="0" fillId="0" borderId="4" xfId="0" applyFont="1" applyBorder="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10" fontId="0" fillId="0" borderId="4" xfId="0" applyNumberFormat="1" applyFont="1" applyBorder="1" applyAlignment="1">
      <alignment horizontal="left" vertical="center"/>
    </xf>
    <xf numFmtId="0" fontId="0" fillId="0" borderId="4" xfId="0" applyFont="1" applyFill="1" applyBorder="1" applyAlignment="1">
      <alignment vertical="center"/>
    </xf>
    <xf numFmtId="0" fontId="0" fillId="0" borderId="0" xfId="0" applyFont="1" applyBorder="1" applyAlignment="1">
      <alignment vertical="center"/>
    </xf>
    <xf numFmtId="0" fontId="0" fillId="9" borderId="0" xfId="0" applyFill="1" applyAlignment="1">
      <alignment vertical="center"/>
    </xf>
    <xf numFmtId="164" fontId="0" fillId="10" borderId="1" xfId="2" applyNumberFormat="1" applyFont="1" applyFill="1" applyBorder="1" applyAlignment="1">
      <alignment horizontal="center" vertical="center"/>
    </xf>
    <xf numFmtId="164" fontId="6" fillId="10" borderId="1" xfId="0" applyNumberFormat="1" applyFont="1" applyFill="1" applyBorder="1" applyAlignment="1">
      <alignment horizontal="center" vertical="center"/>
    </xf>
    <xf numFmtId="3" fontId="0" fillId="11" borderId="1" xfId="0" applyNumberFormat="1" applyFill="1" applyBorder="1" applyAlignment="1" applyProtection="1">
      <alignment horizontal="center" vertical="center"/>
      <protection hidden="1"/>
    </xf>
    <xf numFmtId="2" fontId="0" fillId="10" borderId="1" xfId="0" applyNumberFormat="1" applyFill="1" applyBorder="1" applyAlignment="1">
      <alignment horizontal="center" vertical="center"/>
    </xf>
    <xf numFmtId="9" fontId="0" fillId="10" borderId="1" xfId="3" applyFont="1" applyFill="1" applyBorder="1" applyAlignment="1">
      <alignment horizontal="center" vertical="center" wrapText="1"/>
    </xf>
    <xf numFmtId="1" fontId="6" fillId="10" borderId="1" xfId="0" applyNumberFormat="1" applyFont="1" applyFill="1" applyBorder="1" applyAlignment="1">
      <alignment horizontal="center" vertical="center"/>
    </xf>
    <xf numFmtId="2" fontId="6" fillId="11" borderId="1" xfId="0" applyNumberFormat="1" applyFont="1" applyFill="1" applyBorder="1" applyAlignment="1">
      <alignment horizontal="center" vertical="center"/>
    </xf>
    <xf numFmtId="3" fontId="5" fillId="11" borderId="1" xfId="0" applyNumberFormat="1" applyFont="1" applyFill="1" applyBorder="1" applyAlignment="1">
      <alignment horizontal="center" vertical="center"/>
    </xf>
    <xf numFmtId="164" fontId="0" fillId="11" borderId="1" xfId="2" applyNumberFormat="1" applyFont="1" applyFill="1" applyBorder="1" applyAlignment="1">
      <alignment horizontal="center" vertical="center" wrapText="1"/>
    </xf>
    <xf numFmtId="164" fontId="5" fillId="11" borderId="1" xfId="2" applyNumberFormat="1" applyFont="1" applyFill="1" applyBorder="1" applyAlignment="1">
      <alignment horizontal="center" vertical="center"/>
    </xf>
    <xf numFmtId="164" fontId="0" fillId="11" borderId="1" xfId="2" applyNumberFormat="1" applyFont="1" applyFill="1" applyBorder="1" applyAlignment="1">
      <alignment horizontal="center" vertical="center"/>
    </xf>
    <xf numFmtId="164" fontId="6" fillId="9" borderId="1" xfId="2" applyNumberFormat="1" applyFont="1" applyFill="1" applyBorder="1" applyAlignment="1">
      <alignment horizontal="center" vertical="center" wrapText="1"/>
    </xf>
    <xf numFmtId="10" fontId="0" fillId="9" borderId="1" xfId="3" applyNumberFormat="1" applyFont="1" applyFill="1" applyBorder="1" applyAlignment="1">
      <alignment horizontal="center" vertical="center" wrapText="1"/>
    </xf>
    <xf numFmtId="164" fontId="6" fillId="11" borderId="1" xfId="2" applyNumberFormat="1" applyFont="1" applyFill="1" applyBorder="1" applyAlignment="1">
      <alignment horizontal="center" vertical="center" wrapText="1"/>
    </xf>
    <xf numFmtId="164" fontId="6" fillId="9" borderId="1" xfId="2" applyNumberFormat="1" applyFont="1" applyFill="1" applyBorder="1" applyAlignment="1">
      <alignment horizontal="center" vertical="center"/>
    </xf>
    <xf numFmtId="10" fontId="5" fillId="11" borderId="1" xfId="3" applyNumberFormat="1" applyFont="1" applyFill="1" applyBorder="1" applyAlignment="1">
      <alignment horizontal="center" vertical="center"/>
    </xf>
    <xf numFmtId="1" fontId="0" fillId="9" borderId="1" xfId="3" applyNumberFormat="1" applyFont="1" applyFill="1" applyBorder="1" applyAlignment="1">
      <alignment horizontal="center" vertical="center" wrapText="1"/>
    </xf>
    <xf numFmtId="0" fontId="6" fillId="9" borderId="1" xfId="0" quotePrefix="1" applyFont="1" applyFill="1" applyBorder="1" applyAlignment="1">
      <alignment horizontal="center" vertical="center"/>
    </xf>
    <xf numFmtId="0" fontId="2" fillId="5"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4" xfId="0" applyFont="1" applyBorder="1" applyAlignment="1">
      <alignment horizontal="left" vertical="center" wrapText="1"/>
    </xf>
    <xf numFmtId="0" fontId="2" fillId="8" borderId="0" xfId="0" applyFont="1" applyFill="1" applyBorder="1" applyAlignment="1">
      <alignment horizontal="left" vertical="center" wrapText="1"/>
    </xf>
    <xf numFmtId="0" fontId="0" fillId="0" borderId="0" xfId="0" applyAlignment="1">
      <alignment horizontal="left" vertical="center"/>
    </xf>
    <xf numFmtId="0" fontId="5" fillId="0" borderId="5" xfId="0" applyFont="1" applyBorder="1" applyAlignment="1">
      <alignment horizontal="left" vertical="center" wrapText="1"/>
    </xf>
    <xf numFmtId="0" fontId="2" fillId="6" borderId="0" xfId="0" applyFont="1" applyFill="1" applyBorder="1" applyAlignment="1">
      <alignment horizontal="left" vertical="center" wrapText="1"/>
    </xf>
    <xf numFmtId="0" fontId="2" fillId="7" borderId="0" xfId="0" applyFont="1" applyFill="1" applyBorder="1" applyAlignment="1">
      <alignment horizontal="left" vertical="center" wrapText="1"/>
    </xf>
    <xf numFmtId="10" fontId="0"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xf>
    <xf numFmtId="0" fontId="0" fillId="0" borderId="0" xfId="0" applyFont="1" applyAlignment="1">
      <alignment horizontal="left" vertical="center" wrapText="1"/>
    </xf>
    <xf numFmtId="165" fontId="5" fillId="11" borderId="1" xfId="0" applyNumberFormat="1" applyFont="1" applyFill="1" applyBorder="1" applyAlignment="1">
      <alignment horizontal="center" vertical="center"/>
    </xf>
  </cellXfs>
  <cellStyles count="4">
    <cellStyle name="Moeda" xfId="2" builtinId="4"/>
    <cellStyle name="Normal" xfId="0" builtinId="0"/>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M97"/>
  <sheetViews>
    <sheetView showGridLines="0" tabSelected="1" zoomScaleNormal="100" workbookViewId="0">
      <selection activeCell="K4" sqref="K4"/>
    </sheetView>
  </sheetViews>
  <sheetFormatPr defaultColWidth="8.85546875" defaultRowHeight="15" x14ac:dyDescent="0.25"/>
  <cols>
    <col min="1" max="1" width="2.7109375" style="31" customWidth="1"/>
    <col min="2" max="2" width="27.42578125" style="32" bestFit="1" customWidth="1"/>
    <col min="3" max="3" width="21.7109375" style="32" customWidth="1"/>
    <col min="4" max="5" width="13.85546875" style="32" customWidth="1"/>
    <col min="6" max="8" width="13.7109375" style="32" customWidth="1"/>
    <col min="9" max="9" width="12.140625" style="32" bestFit="1" customWidth="1"/>
    <col min="10" max="11" width="13.85546875" style="32" customWidth="1"/>
    <col min="12" max="12" width="2.7109375" style="31" customWidth="1"/>
    <col min="13" max="16384" width="8.85546875" style="31"/>
  </cols>
  <sheetData>
    <row r="1" spans="2:12" s="1" customFormat="1" ht="23.25" customHeight="1" x14ac:dyDescent="0.25">
      <c r="B1" s="84" t="s">
        <v>0</v>
      </c>
      <c r="C1" s="84"/>
      <c r="D1" s="84"/>
      <c r="E1" s="84"/>
      <c r="F1" s="84"/>
      <c r="G1" s="84"/>
      <c r="H1" s="84"/>
      <c r="I1" s="84"/>
      <c r="J1" s="84"/>
      <c r="K1" s="84"/>
    </row>
    <row r="2" spans="2:12" s="1" customFormat="1" ht="10.15" customHeight="1" x14ac:dyDescent="0.25">
      <c r="B2" s="2"/>
      <c r="C2" s="2"/>
      <c r="D2" s="2"/>
      <c r="E2" s="2"/>
      <c r="F2" s="2"/>
      <c r="G2" s="2"/>
      <c r="H2" s="2"/>
      <c r="I2" s="2"/>
      <c r="J2" s="2"/>
      <c r="K2" s="2"/>
    </row>
    <row r="3" spans="2:12" s="1" customFormat="1" ht="15" customHeight="1" x14ac:dyDescent="0.25">
      <c r="B3" s="3" t="s">
        <v>1</v>
      </c>
      <c r="C3" s="3" t="s">
        <v>123</v>
      </c>
      <c r="E3" s="85" t="s">
        <v>2</v>
      </c>
      <c r="F3" s="85"/>
      <c r="G3" s="85"/>
      <c r="H3" s="85"/>
      <c r="K3" s="3" t="s">
        <v>3</v>
      </c>
    </row>
    <row r="4" spans="2:12" s="1" customFormat="1" ht="27.75" customHeight="1" x14ac:dyDescent="0.25">
      <c r="B4" s="4" t="s">
        <v>4</v>
      </c>
      <c r="C4" s="65"/>
      <c r="E4" s="3" t="s">
        <v>5</v>
      </c>
      <c r="F4" s="3" t="s">
        <v>6</v>
      </c>
      <c r="G4" s="3" t="s">
        <v>7</v>
      </c>
      <c r="H4" s="14" t="s">
        <v>8</v>
      </c>
      <c r="K4" s="101"/>
    </row>
    <row r="5" spans="2:12" s="1" customFormat="1" x14ac:dyDescent="0.25">
      <c r="B5" s="4" t="s">
        <v>9</v>
      </c>
      <c r="C5" s="66"/>
      <c r="E5" s="5" t="s">
        <v>10</v>
      </c>
      <c r="F5" s="67">
        <f>IFERROR(K4*H5*K8,"0")</f>
        <v>0</v>
      </c>
      <c r="G5" s="68">
        <v>1</v>
      </c>
      <c r="H5" s="69">
        <v>0</v>
      </c>
      <c r="I5" s="2"/>
      <c r="K5" s="2"/>
    </row>
    <row r="6" spans="2:12" s="1" customFormat="1" x14ac:dyDescent="0.25">
      <c r="B6" s="4" t="s">
        <v>11</v>
      </c>
      <c r="C6" s="70"/>
      <c r="D6" s="6"/>
      <c r="E6" s="5" t="s">
        <v>12</v>
      </c>
      <c r="F6" s="67">
        <f>IFERROR(K4*H6*K8,"0")</f>
        <v>0</v>
      </c>
      <c r="G6" s="68">
        <v>1.175</v>
      </c>
      <c r="H6" s="69">
        <v>0</v>
      </c>
      <c r="I6" s="2"/>
      <c r="J6" s="3" t="s">
        <v>13</v>
      </c>
      <c r="K6" s="3" t="s">
        <v>14</v>
      </c>
    </row>
    <row r="7" spans="2:12" s="1" customFormat="1" x14ac:dyDescent="0.25">
      <c r="B7" s="4" t="s">
        <v>15</v>
      </c>
      <c r="C7" s="66"/>
      <c r="E7" s="5" t="s">
        <v>16</v>
      </c>
      <c r="F7" s="67">
        <f>IFERROR(K4*H7*K8,"0")</f>
        <v>0</v>
      </c>
      <c r="G7" s="68">
        <v>1.35</v>
      </c>
      <c r="H7" s="69">
        <v>1</v>
      </c>
      <c r="I7" s="2"/>
      <c r="J7" s="7" t="s">
        <v>17</v>
      </c>
      <c r="K7" s="8">
        <v>205</v>
      </c>
    </row>
    <row r="8" spans="2:12" s="1" customFormat="1" x14ac:dyDescent="0.25">
      <c r="B8" s="4" t="s">
        <v>18</v>
      </c>
      <c r="C8" s="71">
        <f>1/H16</f>
        <v>5.9998800023999515</v>
      </c>
      <c r="D8" s="9"/>
      <c r="E8" s="10" t="s">
        <v>19</v>
      </c>
      <c r="F8" s="72">
        <f>F5*G5+F6*G6+F7*G7</f>
        <v>0</v>
      </c>
      <c r="G8" s="86"/>
      <c r="H8" s="86"/>
      <c r="I8" s="2"/>
      <c r="J8" s="10" t="s">
        <v>20</v>
      </c>
      <c r="K8" s="11">
        <v>20.5</v>
      </c>
    </row>
    <row r="9" spans="2:12" s="1" customFormat="1" ht="10.15" customHeight="1" x14ac:dyDescent="0.25">
      <c r="D9" s="12"/>
      <c r="L9" s="13"/>
    </row>
    <row r="10" spans="2:12" s="1" customFormat="1" x14ac:dyDescent="0.25">
      <c r="B10" s="87" t="s">
        <v>21</v>
      </c>
      <c r="C10" s="88"/>
      <c r="D10" s="88"/>
      <c r="E10" s="88"/>
      <c r="F10" s="88"/>
      <c r="G10" s="88"/>
      <c r="H10" s="88"/>
      <c r="I10" s="88"/>
      <c r="J10" s="88"/>
      <c r="K10" s="88"/>
      <c r="L10" s="13"/>
    </row>
    <row r="11" spans="2:12" s="1" customFormat="1" ht="30" customHeight="1" x14ac:dyDescent="0.25">
      <c r="B11" s="14" t="s">
        <v>22</v>
      </c>
      <c r="C11" s="14" t="s">
        <v>23</v>
      </c>
      <c r="D11" s="14" t="s">
        <v>24</v>
      </c>
      <c r="E11" s="14" t="s">
        <v>25</v>
      </c>
      <c r="F11" s="14" t="s">
        <v>26</v>
      </c>
      <c r="G11" s="14" t="s">
        <v>27</v>
      </c>
      <c r="H11" s="14" t="s">
        <v>28</v>
      </c>
      <c r="I11" s="14" t="s">
        <v>29</v>
      </c>
      <c r="J11" s="14" t="s">
        <v>30</v>
      </c>
      <c r="K11" s="14" t="s">
        <v>31</v>
      </c>
    </row>
    <row r="12" spans="2:12" s="1" customFormat="1" x14ac:dyDescent="0.25">
      <c r="B12" s="73">
        <f>ROUND((C4-C6*C7)*H24,2)</f>
        <v>0</v>
      </c>
      <c r="C12" s="73" t="e">
        <f>ROUND(((C4-C6*C7)*(1-J24))/(I24*12), 2)</f>
        <v>#DIV/0!</v>
      </c>
      <c r="D12" s="66"/>
      <c r="E12" s="66"/>
      <c r="F12" s="66"/>
      <c r="G12" s="66"/>
      <c r="H12" s="66"/>
      <c r="I12" s="66"/>
      <c r="J12" s="66"/>
      <c r="K12" s="74" t="e">
        <f>SUM(B12:J12)</f>
        <v>#DIV/0!</v>
      </c>
    </row>
    <row r="13" spans="2:12" s="1" customFormat="1" ht="10.15" customHeight="1" x14ac:dyDescent="0.25">
      <c r="D13" s="12"/>
      <c r="L13" s="13"/>
    </row>
    <row r="14" spans="2:12" s="1" customFormat="1" ht="15" customHeight="1" x14ac:dyDescent="0.25">
      <c r="B14" s="89" t="s">
        <v>32</v>
      </c>
      <c r="C14" s="89"/>
      <c r="D14" s="89"/>
      <c r="E14" s="89"/>
      <c r="F14" s="89"/>
      <c r="H14" s="89" t="s">
        <v>33</v>
      </c>
      <c r="I14" s="89"/>
      <c r="J14" s="89"/>
      <c r="K14" s="89"/>
      <c r="L14" s="13"/>
    </row>
    <row r="15" spans="2:12" s="1" customFormat="1" ht="30" customHeight="1" x14ac:dyDescent="0.25">
      <c r="B15" s="14" t="s">
        <v>34</v>
      </c>
      <c r="C15" s="14" t="s">
        <v>35</v>
      </c>
      <c r="D15" s="14" t="s">
        <v>36</v>
      </c>
      <c r="E15" s="14" t="s">
        <v>37</v>
      </c>
      <c r="F15" s="14" t="s">
        <v>31</v>
      </c>
      <c r="H15" s="14" t="s">
        <v>34</v>
      </c>
      <c r="I15" s="14" t="s">
        <v>35</v>
      </c>
      <c r="J15" s="14" t="s">
        <v>36</v>
      </c>
      <c r="K15" s="14" t="s">
        <v>37</v>
      </c>
    </row>
    <row r="16" spans="2:12" s="1" customFormat="1" x14ac:dyDescent="0.25">
      <c r="B16" s="75">
        <f>ROUND(H16*(F8+K24)*C5,2)</f>
        <v>0</v>
      </c>
      <c r="C16" s="75">
        <f>ROUND((F8+K24)*C5*I16,2)</f>
        <v>0</v>
      </c>
      <c r="D16" s="75">
        <f>ROUND(C7*(F8+K24)*J16,2)</f>
        <v>0</v>
      </c>
      <c r="E16" s="75">
        <f>ROUND(K16*C4*(F8+K24),2)</f>
        <v>0</v>
      </c>
      <c r="F16" s="74">
        <f>SUM(B16:E16)</f>
        <v>0</v>
      </c>
      <c r="H16" s="15">
        <v>0.16667000000000001</v>
      </c>
      <c r="I16" s="15">
        <v>0.04</v>
      </c>
      <c r="J16" s="15">
        <v>8.8888888888888907E-5</v>
      </c>
      <c r="K16" s="15">
        <v>3.3333333333333299E-6</v>
      </c>
    </row>
    <row r="17" spans="1:13" s="1" customFormat="1" ht="10.15" customHeight="1" x14ac:dyDescent="0.25">
      <c r="B17" s="2"/>
      <c r="C17" s="2"/>
      <c r="D17" s="2"/>
      <c r="E17" s="2"/>
      <c r="F17" s="2"/>
      <c r="G17" s="2"/>
      <c r="H17" s="2"/>
      <c r="I17" s="16"/>
      <c r="J17" s="2"/>
      <c r="K17" s="2"/>
    </row>
    <row r="18" spans="1:13" s="1" customFormat="1" ht="15" customHeight="1" x14ac:dyDescent="0.25">
      <c r="B18" s="87" t="s">
        <v>38</v>
      </c>
      <c r="C18" s="88"/>
      <c r="D18" s="88"/>
      <c r="E18" s="88"/>
      <c r="F18" s="88"/>
      <c r="G18" s="88"/>
      <c r="H18" s="88"/>
      <c r="I18" s="88"/>
      <c r="J18" s="2"/>
      <c r="K18" s="2"/>
    </row>
    <row r="19" spans="1:13" s="1" customFormat="1" ht="30" x14ac:dyDescent="0.25">
      <c r="B19" s="14" t="s">
        <v>39</v>
      </c>
      <c r="C19" s="14" t="s">
        <v>40</v>
      </c>
      <c r="D19" s="14" t="s">
        <v>41</v>
      </c>
      <c r="E19" s="14" t="s">
        <v>42</v>
      </c>
      <c r="F19" s="14" t="s">
        <v>43</v>
      </c>
      <c r="G19" s="14" t="s">
        <v>44</v>
      </c>
      <c r="H19" s="14" t="s">
        <v>45</v>
      </c>
      <c r="I19" s="14" t="s">
        <v>31</v>
      </c>
      <c r="K19" s="2"/>
    </row>
    <row r="20" spans="1:13" s="1" customFormat="1" x14ac:dyDescent="0.25">
      <c r="B20" s="76"/>
      <c r="C20" s="76"/>
      <c r="D20" s="77"/>
      <c r="E20" s="78">
        <f>ROUND((B20+C20)*(D20),2)</f>
        <v>0</v>
      </c>
      <c r="F20" s="79"/>
      <c r="G20" s="79"/>
      <c r="H20" s="79"/>
      <c r="I20" s="74">
        <f>SUM(B20:C20,E20:H20)</f>
        <v>0</v>
      </c>
      <c r="K20" s="2"/>
    </row>
    <row r="21" spans="1:13" s="1" customFormat="1" ht="10.15" customHeight="1" x14ac:dyDescent="0.25">
      <c r="B21" s="2"/>
      <c r="C21" s="2"/>
      <c r="D21" s="2"/>
      <c r="E21" s="2"/>
      <c r="F21" s="2"/>
      <c r="G21" s="2"/>
      <c r="H21" s="2"/>
      <c r="I21" s="2"/>
      <c r="J21" s="2"/>
      <c r="K21" s="2"/>
    </row>
    <row r="22" spans="1:13" s="1" customFormat="1" x14ac:dyDescent="0.25">
      <c r="B22" s="90" t="s">
        <v>46</v>
      </c>
      <c r="C22" s="90"/>
      <c r="D22" s="90"/>
      <c r="E22" s="90"/>
      <c r="F22" s="2"/>
      <c r="G22" s="90" t="s">
        <v>47</v>
      </c>
      <c r="H22" s="90"/>
      <c r="I22" s="90"/>
      <c r="J22" s="90"/>
      <c r="K22" s="90"/>
      <c r="L22" s="17"/>
    </row>
    <row r="23" spans="1:13" s="1" customFormat="1" ht="45" x14ac:dyDescent="0.25">
      <c r="B23" s="18" t="s">
        <v>48</v>
      </c>
      <c r="C23" s="18" t="s">
        <v>49</v>
      </c>
      <c r="D23" s="18" t="s">
        <v>50</v>
      </c>
      <c r="E23" s="18" t="s">
        <v>51</v>
      </c>
      <c r="F23" s="2"/>
      <c r="G23" s="18" t="s">
        <v>52</v>
      </c>
      <c r="H23" s="18" t="s">
        <v>53</v>
      </c>
      <c r="I23" s="18" t="s">
        <v>54</v>
      </c>
      <c r="J23" s="18" t="s">
        <v>55</v>
      </c>
      <c r="K23" s="14" t="s">
        <v>56</v>
      </c>
      <c r="L23" s="17"/>
    </row>
    <row r="24" spans="1:13" s="1" customFormat="1" x14ac:dyDescent="0.25">
      <c r="B24" s="77"/>
      <c r="C24" s="77"/>
      <c r="D24" s="77"/>
      <c r="E24" s="80">
        <f>SUM(B24:D24)</f>
        <v>0</v>
      </c>
      <c r="F24" s="2"/>
      <c r="G24" s="77"/>
      <c r="H24" s="77"/>
      <c r="I24" s="81"/>
      <c r="J24" s="77"/>
      <c r="K24" s="82"/>
      <c r="L24" s="17"/>
    </row>
    <row r="25" spans="1:13" s="1" customFormat="1" ht="10.15" customHeight="1" x14ac:dyDescent="0.25">
      <c r="B25" s="2"/>
      <c r="C25" s="2"/>
      <c r="D25" s="2"/>
      <c r="E25" s="2"/>
      <c r="F25" s="2"/>
      <c r="G25" s="2"/>
      <c r="H25" s="2"/>
      <c r="I25" s="2"/>
      <c r="J25" s="2"/>
      <c r="K25" s="2"/>
      <c r="L25" s="17"/>
    </row>
    <row r="26" spans="1:13" s="1" customFormat="1" ht="15" hidden="1" customHeight="1" x14ac:dyDescent="0.25">
      <c r="B26" s="2"/>
      <c r="C26" s="2"/>
      <c r="D26" s="2"/>
      <c r="E26" s="2"/>
      <c r="F26" s="19"/>
      <c r="H26" s="2"/>
      <c r="I26" s="2"/>
      <c r="J26" s="2"/>
      <c r="K26" s="2"/>
      <c r="L26" s="17"/>
      <c r="M26" s="20"/>
    </row>
    <row r="27" spans="1:13" s="1" customFormat="1" ht="15" hidden="1" customHeight="1" x14ac:dyDescent="0.25">
      <c r="H27" s="2"/>
      <c r="I27" s="2"/>
      <c r="J27" s="2"/>
      <c r="K27" s="2"/>
    </row>
    <row r="28" spans="1:13" s="1" customFormat="1" ht="15.75" thickBot="1" x14ac:dyDescent="0.3">
      <c r="B28" s="91" t="s">
        <v>57</v>
      </c>
      <c r="C28" s="91"/>
      <c r="D28" s="91"/>
      <c r="E28" s="91"/>
      <c r="F28" s="91"/>
      <c r="G28" s="2"/>
      <c r="H28" s="2"/>
      <c r="I28" s="2"/>
      <c r="J28" s="2"/>
      <c r="K28" s="2"/>
    </row>
    <row r="29" spans="1:13" s="1" customFormat="1" ht="8.25" customHeight="1" x14ac:dyDescent="0.25">
      <c r="B29" s="21"/>
      <c r="C29" s="21"/>
      <c r="D29" s="21"/>
      <c r="E29" s="21"/>
      <c r="F29" s="22"/>
      <c r="G29" s="2"/>
      <c r="H29" s="2"/>
      <c r="I29" s="2"/>
      <c r="J29" s="2"/>
      <c r="K29" s="2"/>
    </row>
    <row r="30" spans="1:13" s="1" customFormat="1" x14ac:dyDescent="0.25">
      <c r="A30" s="29"/>
      <c r="B30" s="83" t="s">
        <v>58</v>
      </c>
      <c r="C30" s="83"/>
      <c r="D30" s="83"/>
      <c r="E30" s="83"/>
      <c r="F30" s="23" t="e">
        <f>ROUND((K12+I20)*(1+G24)*(1+E24) / (K4*K8),2)</f>
        <v>#DIV/0!</v>
      </c>
      <c r="G30" s="16"/>
      <c r="J30" s="2"/>
      <c r="K30" s="2"/>
    </row>
    <row r="31" spans="1:13" s="1" customFormat="1" ht="10.15" customHeight="1" x14ac:dyDescent="0.25">
      <c r="A31" s="29"/>
      <c r="B31" s="24"/>
      <c r="C31" s="24"/>
      <c r="D31" s="24"/>
      <c r="E31" s="24"/>
      <c r="F31" s="25"/>
      <c r="G31" s="26"/>
      <c r="J31" s="27"/>
      <c r="K31" s="2"/>
    </row>
    <row r="32" spans="1:13" s="1" customFormat="1" ht="15" customHeight="1" x14ac:dyDescent="0.25">
      <c r="A32" s="29"/>
      <c r="B32" s="83" t="s">
        <v>59</v>
      </c>
      <c r="C32" s="83"/>
      <c r="D32" s="83"/>
      <c r="E32" s="83"/>
      <c r="F32" s="23" t="e">
        <f>ROUND(F16*(1+E24)*(1+G24)  / (K4*K8),2)</f>
        <v>#DIV/0!</v>
      </c>
      <c r="G32" s="28"/>
      <c r="H32" s="2"/>
      <c r="I32" s="2"/>
      <c r="J32" s="2"/>
      <c r="K32" s="2"/>
    </row>
    <row r="33" spans="1:11" s="1" customFormat="1" ht="10.15" customHeight="1" x14ac:dyDescent="0.25">
      <c r="A33" s="93"/>
      <c r="B33" s="93"/>
      <c r="C33" s="93"/>
      <c r="D33" s="93"/>
      <c r="E33" s="24"/>
      <c r="F33" s="30"/>
      <c r="G33" s="2"/>
      <c r="H33" s="2"/>
      <c r="I33" s="2"/>
      <c r="J33" s="27"/>
      <c r="K33" s="2"/>
    </row>
    <row r="34" spans="1:11" s="1" customFormat="1" x14ac:dyDescent="0.25">
      <c r="A34" s="29"/>
      <c r="B34" s="83" t="s">
        <v>60</v>
      </c>
      <c r="C34" s="83"/>
      <c r="D34" s="83"/>
      <c r="E34" s="83"/>
      <c r="F34" s="23" t="e">
        <f>ROUND(F30+F32,2)</f>
        <v>#DIV/0!</v>
      </c>
      <c r="G34" s="28"/>
      <c r="H34" s="2"/>
      <c r="I34" s="2"/>
      <c r="J34" s="2"/>
      <c r="K34" s="2"/>
    </row>
    <row r="35" spans="1:11" s="1" customFormat="1" ht="10.15" customHeight="1" x14ac:dyDescent="0.25">
      <c r="B35" s="21"/>
      <c r="C35" s="21"/>
      <c r="D35" s="21"/>
      <c r="E35" s="21"/>
      <c r="F35" s="22"/>
      <c r="G35" s="2"/>
      <c r="H35" s="2"/>
      <c r="I35" s="2"/>
      <c r="J35" s="2"/>
      <c r="K35" s="2"/>
    </row>
    <row r="36" spans="1:11" ht="15.75" hidden="1" customHeight="1" thickBot="1" x14ac:dyDescent="0.3">
      <c r="B36" s="94" t="s">
        <v>61</v>
      </c>
      <c r="C36" s="94"/>
      <c r="D36" s="94"/>
      <c r="E36" s="94"/>
      <c r="F36" s="94"/>
      <c r="J36" s="33"/>
    </row>
    <row r="37" spans="1:11" ht="8.25" hidden="1" customHeight="1" x14ac:dyDescent="0.25">
      <c r="B37" s="34"/>
      <c r="C37" s="34"/>
      <c r="D37" s="34"/>
      <c r="E37" s="34"/>
      <c r="F37" s="22"/>
      <c r="J37" s="33"/>
    </row>
    <row r="38" spans="1:11" ht="15" hidden="1" customHeight="1" x14ac:dyDescent="0.25">
      <c r="B38" s="95" t="s">
        <v>58</v>
      </c>
      <c r="C38" s="95"/>
      <c r="D38" s="95"/>
      <c r="E38" s="95"/>
      <c r="F38" s="35" t="e">
        <f>F30*$K$4</f>
        <v>#DIV/0!</v>
      </c>
      <c r="G38" s="36"/>
      <c r="H38" s="36"/>
      <c r="I38" s="36"/>
      <c r="J38" s="36"/>
      <c r="K38" s="36"/>
    </row>
    <row r="39" spans="1:11" ht="15" hidden="1" customHeight="1" x14ac:dyDescent="0.25">
      <c r="B39" s="24"/>
      <c r="C39" s="24"/>
      <c r="D39" s="24"/>
      <c r="E39" s="24"/>
      <c r="F39" s="30"/>
      <c r="H39" s="37"/>
      <c r="I39" s="37"/>
      <c r="J39" s="37"/>
      <c r="K39" s="37"/>
    </row>
    <row r="40" spans="1:11" ht="15" hidden="1" customHeight="1" x14ac:dyDescent="0.25">
      <c r="B40" s="95" t="s">
        <v>59</v>
      </c>
      <c r="C40" s="95"/>
      <c r="D40" s="95"/>
      <c r="E40" s="95"/>
      <c r="F40" s="38" t="e">
        <f>F32*$K$4</f>
        <v>#DIV/0!</v>
      </c>
      <c r="G40" s="39"/>
      <c r="H40" s="40"/>
      <c r="I40" s="40"/>
    </row>
    <row r="41" spans="1:11" ht="15" hidden="1" customHeight="1" x14ac:dyDescent="0.25">
      <c r="B41" s="24"/>
      <c r="C41" s="24"/>
      <c r="D41" s="24"/>
      <c r="E41" s="24"/>
      <c r="F41" s="30"/>
      <c r="G41" s="2"/>
      <c r="H41" s="2"/>
      <c r="I41" s="2"/>
      <c r="J41" s="2"/>
      <c r="K41" s="2"/>
    </row>
    <row r="42" spans="1:11" ht="15" hidden="1" customHeight="1" x14ac:dyDescent="0.25">
      <c r="B42" s="95" t="s">
        <v>60</v>
      </c>
      <c r="C42" s="95"/>
      <c r="D42" s="95"/>
      <c r="E42" s="95"/>
      <c r="F42" s="35" t="e">
        <f>F38+F40</f>
        <v>#DIV/0!</v>
      </c>
      <c r="G42" s="41"/>
      <c r="H42" s="36"/>
      <c r="I42" s="36"/>
      <c r="J42" s="36"/>
      <c r="K42" s="36"/>
    </row>
    <row r="43" spans="1:11" ht="15" hidden="1" customHeight="1" x14ac:dyDescent="0.25">
      <c r="B43" s="31"/>
      <c r="C43" s="31"/>
      <c r="D43" s="31"/>
      <c r="E43" s="31"/>
      <c r="F43" s="31"/>
      <c r="G43" s="31"/>
      <c r="H43" s="31"/>
      <c r="I43" s="31"/>
      <c r="J43" s="31"/>
      <c r="K43" s="31"/>
    </row>
    <row r="44" spans="1:11" ht="15.75" hidden="1" customHeight="1" thickBot="1" x14ac:dyDescent="0.3">
      <c r="B44" s="94" t="str">
        <f>"CUSTO MENSAL"</f>
        <v>CUSTO MENSAL</v>
      </c>
      <c r="C44" s="94"/>
      <c r="D44" s="94"/>
      <c r="E44" s="94"/>
      <c r="F44" s="94"/>
      <c r="J44" s="33"/>
    </row>
    <row r="45" spans="1:11" ht="8.25" hidden="1" customHeight="1" x14ac:dyDescent="0.25">
      <c r="B45" s="34"/>
      <c r="C45" s="34"/>
      <c r="D45" s="34"/>
      <c r="E45" s="34"/>
      <c r="F45" s="22"/>
      <c r="J45" s="33"/>
    </row>
    <row r="46" spans="1:11" ht="15" hidden="1" customHeight="1" x14ac:dyDescent="0.25">
      <c r="B46" s="96" t="s">
        <v>58</v>
      </c>
      <c r="C46" s="96"/>
      <c r="D46" s="96"/>
      <c r="E46" s="96"/>
      <c r="F46" s="42" t="e">
        <f>F38*$K$8</f>
        <v>#DIV/0!</v>
      </c>
      <c r="G46" s="36"/>
      <c r="H46" s="36"/>
      <c r="I46" s="36"/>
      <c r="J46" s="36"/>
      <c r="K46" s="36"/>
    </row>
    <row r="47" spans="1:11" ht="15" hidden="1" customHeight="1" x14ac:dyDescent="0.25">
      <c r="B47" s="24"/>
      <c r="C47" s="24"/>
      <c r="D47" s="24"/>
      <c r="E47" s="24"/>
      <c r="F47" s="30"/>
      <c r="H47" s="37"/>
      <c r="I47" s="37"/>
      <c r="J47" s="37"/>
      <c r="K47" s="37"/>
    </row>
    <row r="48" spans="1:11" ht="15" hidden="1" customHeight="1" x14ac:dyDescent="0.25">
      <c r="B48" s="96" t="s">
        <v>59</v>
      </c>
      <c r="C48" s="96"/>
      <c r="D48" s="96"/>
      <c r="E48" s="96"/>
      <c r="F48" s="43" t="e">
        <f>F40*$K$8</f>
        <v>#DIV/0!</v>
      </c>
      <c r="G48" s="39"/>
      <c r="H48" s="40"/>
      <c r="I48" s="40"/>
    </row>
    <row r="49" spans="1:11" ht="15" hidden="1" customHeight="1" x14ac:dyDescent="0.25">
      <c r="B49" s="24"/>
      <c r="C49" s="24"/>
      <c r="D49" s="24"/>
      <c r="E49" s="24"/>
      <c r="F49" s="30"/>
      <c r="G49" s="2"/>
      <c r="H49" s="2"/>
      <c r="I49" s="2"/>
      <c r="J49" s="2"/>
      <c r="K49" s="2"/>
    </row>
    <row r="50" spans="1:11" ht="15" hidden="1" customHeight="1" x14ac:dyDescent="0.25">
      <c r="B50" s="96" t="s">
        <v>60</v>
      </c>
      <c r="C50" s="96"/>
      <c r="D50" s="96"/>
      <c r="E50" s="96"/>
      <c r="F50" s="42" t="e">
        <f>F46+F48</f>
        <v>#DIV/0!</v>
      </c>
      <c r="G50" s="36"/>
      <c r="H50" s="27"/>
      <c r="I50" s="36"/>
      <c r="J50" s="36"/>
      <c r="K50" s="36"/>
    </row>
    <row r="51" spans="1:11" ht="15" hidden="1" customHeight="1" x14ac:dyDescent="0.25">
      <c r="B51" s="34"/>
      <c r="C51" s="34"/>
      <c r="D51" s="34"/>
      <c r="E51" s="34"/>
      <c r="F51" s="22"/>
      <c r="H51" s="37"/>
      <c r="I51" s="37"/>
      <c r="J51" s="37"/>
      <c r="K51" s="37"/>
    </row>
    <row r="52" spans="1:11" ht="15.75" hidden="1" customHeight="1" thickBot="1" x14ac:dyDescent="0.3">
      <c r="B52" s="94" t="str">
        <f>"CUSTO ANUAL* (" &amp; $K$7 &amp; " DIAS LETIVOS)"</f>
        <v>CUSTO ANUAL* (205 DIAS LETIVOS)</v>
      </c>
      <c r="C52" s="94"/>
      <c r="D52" s="94"/>
      <c r="E52" s="94"/>
      <c r="F52" s="94"/>
      <c r="J52" s="33"/>
    </row>
    <row r="53" spans="1:11" ht="8.25" hidden="1" customHeight="1" x14ac:dyDescent="0.25">
      <c r="B53" s="34"/>
      <c r="C53" s="34"/>
      <c r="D53" s="34"/>
      <c r="E53" s="34"/>
      <c r="F53" s="22"/>
      <c r="J53" s="33"/>
    </row>
    <row r="54" spans="1:11" ht="15" hidden="1" customHeight="1" x14ac:dyDescent="0.25">
      <c r="B54" s="92" t="s">
        <v>58</v>
      </c>
      <c r="C54" s="92"/>
      <c r="D54" s="92"/>
      <c r="E54" s="92"/>
      <c r="F54" s="44" t="e">
        <f>F30*$K$4*$K$7</f>
        <v>#DIV/0!</v>
      </c>
      <c r="G54" s="39"/>
      <c r="H54" s="40"/>
      <c r="I54" s="40"/>
    </row>
    <row r="55" spans="1:11" ht="15" hidden="1" customHeight="1" x14ac:dyDescent="0.25">
      <c r="B55" s="24"/>
      <c r="C55" s="24"/>
      <c r="D55" s="24"/>
      <c r="E55" s="24"/>
      <c r="F55" s="30"/>
      <c r="H55" s="37"/>
      <c r="I55" s="37"/>
      <c r="J55" s="37"/>
      <c r="K55" s="37"/>
    </row>
    <row r="56" spans="1:11" ht="15" hidden="1" customHeight="1" x14ac:dyDescent="0.25">
      <c r="B56" s="92" t="s">
        <v>59</v>
      </c>
      <c r="C56" s="92"/>
      <c r="D56" s="92"/>
      <c r="E56" s="92"/>
      <c r="F56" s="44" t="e">
        <f>F32*$K$4*$K$7</f>
        <v>#DIV/0!</v>
      </c>
      <c r="G56" s="39"/>
      <c r="H56" s="40"/>
      <c r="I56" s="40"/>
    </row>
    <row r="57" spans="1:11" ht="15" hidden="1" customHeight="1" x14ac:dyDescent="0.25">
      <c r="B57" s="24"/>
      <c r="C57" s="24"/>
      <c r="D57" s="24"/>
      <c r="E57" s="24"/>
      <c r="F57" s="30"/>
      <c r="H57" s="37"/>
      <c r="I57" s="37"/>
      <c r="J57" s="37"/>
      <c r="K57" s="37"/>
    </row>
    <row r="58" spans="1:11" ht="15" hidden="1" customHeight="1" x14ac:dyDescent="0.25">
      <c r="B58" s="92" t="s">
        <v>60</v>
      </c>
      <c r="C58" s="92"/>
      <c r="D58" s="92"/>
      <c r="E58" s="92"/>
      <c r="F58" s="44" t="e">
        <f>F54+F56</f>
        <v>#DIV/0!</v>
      </c>
      <c r="G58" s="39"/>
      <c r="H58" s="40"/>
      <c r="I58" s="40"/>
    </row>
    <row r="59" spans="1:11" ht="15" hidden="1" customHeight="1" x14ac:dyDescent="0.25">
      <c r="F59" s="45"/>
    </row>
    <row r="60" spans="1:11" ht="15.75" thickBot="1" x14ac:dyDescent="0.3">
      <c r="B60" s="46" t="s">
        <v>62</v>
      </c>
      <c r="C60" s="46"/>
      <c r="D60" s="46"/>
      <c r="E60" s="46"/>
      <c r="F60" s="46"/>
      <c r="G60" s="46"/>
      <c r="H60" s="46"/>
      <c r="I60" s="46"/>
      <c r="J60" s="46"/>
      <c r="K60" s="47"/>
    </row>
    <row r="61" spans="1:11" x14ac:dyDescent="0.25">
      <c r="A61" s="1"/>
      <c r="B61" s="48" t="s">
        <v>63</v>
      </c>
      <c r="C61" s="64" t="s">
        <v>122</v>
      </c>
    </row>
    <row r="62" spans="1:11" x14ac:dyDescent="0.25">
      <c r="A62" s="1"/>
      <c r="B62" s="48" t="s">
        <v>64</v>
      </c>
      <c r="C62" s="64" t="s">
        <v>122</v>
      </c>
    </row>
    <row r="63" spans="1:11" x14ac:dyDescent="0.25">
      <c r="A63" s="1"/>
      <c r="B63" s="48" t="s">
        <v>65</v>
      </c>
      <c r="C63" s="64" t="s">
        <v>122</v>
      </c>
    </row>
    <row r="64" spans="1:11" x14ac:dyDescent="0.25">
      <c r="A64" s="1"/>
      <c r="B64" s="48" t="s">
        <v>66</v>
      </c>
      <c r="C64" s="64" t="s">
        <v>122</v>
      </c>
    </row>
    <row r="65" spans="1:11" s="50" customFormat="1" x14ac:dyDescent="0.25">
      <c r="A65" s="49"/>
      <c r="B65" s="48" t="s">
        <v>67</v>
      </c>
      <c r="C65" s="100" t="s">
        <v>68</v>
      </c>
      <c r="D65" s="100"/>
      <c r="E65" s="100"/>
      <c r="F65" s="100"/>
      <c r="G65" s="100"/>
      <c r="H65" s="100"/>
      <c r="I65" s="100"/>
      <c r="J65" s="100"/>
      <c r="K65" s="100"/>
    </row>
    <row r="66" spans="1:11" s="50" customFormat="1" x14ac:dyDescent="0.25">
      <c r="A66" s="49"/>
      <c r="B66" s="48" t="s">
        <v>69</v>
      </c>
      <c r="C66" s="51">
        <f>J24</f>
        <v>0</v>
      </c>
      <c r="D66" s="52"/>
      <c r="E66" s="52"/>
      <c r="F66" s="52"/>
      <c r="G66" s="52"/>
      <c r="H66" s="52"/>
      <c r="I66" s="52"/>
      <c r="J66" s="52"/>
      <c r="K66" s="52"/>
    </row>
    <row r="67" spans="1:11" s="50" customFormat="1" x14ac:dyDescent="0.25">
      <c r="A67" s="49"/>
      <c r="B67" s="48" t="s">
        <v>70</v>
      </c>
      <c r="C67" s="100" t="s">
        <v>71</v>
      </c>
      <c r="D67" s="100"/>
      <c r="E67" s="100"/>
      <c r="F67" s="100"/>
      <c r="G67" s="100"/>
      <c r="H67" s="100"/>
      <c r="I67" s="100"/>
      <c r="J67" s="100"/>
      <c r="K67" s="100"/>
    </row>
    <row r="68" spans="1:11" s="50" customFormat="1" x14ac:dyDescent="0.25">
      <c r="A68" s="49"/>
      <c r="B68" s="48" t="s">
        <v>72</v>
      </c>
      <c r="C68" s="97" t="s">
        <v>73</v>
      </c>
      <c r="D68" s="97"/>
      <c r="E68" s="97"/>
      <c r="F68" s="97"/>
      <c r="G68" s="97"/>
      <c r="H68" s="97"/>
      <c r="I68" s="97"/>
      <c r="J68" s="97"/>
      <c r="K68" s="52"/>
    </row>
    <row r="69" spans="1:11" s="50" customFormat="1" x14ac:dyDescent="0.25">
      <c r="A69" s="49"/>
      <c r="B69" s="48" t="s">
        <v>74</v>
      </c>
      <c r="C69" s="97" t="s">
        <v>75</v>
      </c>
      <c r="D69" s="97"/>
      <c r="E69" s="97"/>
      <c r="F69" s="97"/>
      <c r="G69" s="97"/>
      <c r="H69" s="97"/>
      <c r="I69" s="97"/>
      <c r="J69" s="97"/>
      <c r="K69" s="52"/>
    </row>
    <row r="70" spans="1:11" s="50" customFormat="1" x14ac:dyDescent="0.25">
      <c r="A70" s="49"/>
      <c r="B70" s="48" t="s">
        <v>76</v>
      </c>
      <c r="C70" s="53" t="s">
        <v>77</v>
      </c>
      <c r="D70" s="52"/>
      <c r="E70" s="52"/>
      <c r="F70" s="52"/>
      <c r="G70" s="52"/>
      <c r="H70" s="52"/>
      <c r="I70" s="52"/>
      <c r="J70" s="52"/>
      <c r="K70" s="52"/>
    </row>
    <row r="71" spans="1:11" s="50" customFormat="1" ht="32.25" customHeight="1" x14ac:dyDescent="0.25">
      <c r="A71" s="49"/>
      <c r="B71" s="48" t="s">
        <v>78</v>
      </c>
      <c r="C71" s="97" t="s">
        <v>79</v>
      </c>
      <c r="D71" s="97"/>
      <c r="E71" s="97"/>
      <c r="F71" s="97"/>
      <c r="G71" s="97"/>
      <c r="H71" s="97"/>
      <c r="I71" s="97"/>
      <c r="J71" s="97"/>
      <c r="K71" s="97"/>
    </row>
    <row r="72" spans="1:11" s="50" customFormat="1" x14ac:dyDescent="0.25">
      <c r="A72" s="49"/>
      <c r="B72" s="48" t="s">
        <v>80</v>
      </c>
      <c r="C72" s="53" t="s">
        <v>81</v>
      </c>
      <c r="D72" s="52"/>
      <c r="E72" s="52"/>
      <c r="F72" s="52"/>
      <c r="G72" s="52"/>
      <c r="H72" s="52"/>
      <c r="I72" s="52"/>
      <c r="J72" s="52"/>
      <c r="K72" s="52"/>
    </row>
    <row r="73" spans="1:11" s="50" customFormat="1" ht="15" customHeight="1" x14ac:dyDescent="0.25">
      <c r="A73" s="49"/>
      <c r="B73" s="48" t="s">
        <v>82</v>
      </c>
      <c r="C73" s="50" t="s">
        <v>83</v>
      </c>
      <c r="H73" s="54"/>
      <c r="I73" s="54"/>
      <c r="J73" s="54"/>
      <c r="K73" s="52"/>
    </row>
    <row r="74" spans="1:11" s="50" customFormat="1" ht="15" customHeight="1" thickBot="1" x14ac:dyDescent="0.3">
      <c r="A74" s="49"/>
      <c r="B74" s="55" t="s">
        <v>84</v>
      </c>
      <c r="C74" s="56" t="s">
        <v>85</v>
      </c>
      <c r="D74" s="56"/>
      <c r="E74" s="56"/>
      <c r="F74" s="56"/>
      <c r="G74" s="56"/>
      <c r="H74" s="57"/>
      <c r="I74" s="57"/>
      <c r="J74" s="57"/>
      <c r="K74" s="58"/>
    </row>
    <row r="75" spans="1:11" s="50" customFormat="1" ht="45" customHeight="1" x14ac:dyDescent="0.25">
      <c r="A75" s="49"/>
      <c r="B75" s="59" t="s">
        <v>86</v>
      </c>
      <c r="C75" s="98" t="s">
        <v>87</v>
      </c>
      <c r="D75" s="98"/>
      <c r="E75" s="98"/>
      <c r="F75" s="98"/>
      <c r="G75" s="98"/>
      <c r="H75" s="98"/>
      <c r="I75" s="98"/>
      <c r="J75" s="98"/>
      <c r="K75" s="60"/>
    </row>
    <row r="76" spans="1:11" s="50" customFormat="1" ht="30" customHeight="1" x14ac:dyDescent="0.25">
      <c r="A76" s="49"/>
      <c r="B76" s="59" t="s">
        <v>88</v>
      </c>
      <c r="C76" s="98" t="s">
        <v>89</v>
      </c>
      <c r="D76" s="98"/>
      <c r="E76" s="98"/>
      <c r="F76" s="98"/>
      <c r="G76" s="98"/>
      <c r="H76" s="98"/>
      <c r="I76" s="98"/>
      <c r="J76" s="98"/>
      <c r="K76" s="98"/>
    </row>
    <row r="77" spans="1:11" s="50" customFormat="1" ht="15" customHeight="1" thickBot="1" x14ac:dyDescent="0.3">
      <c r="A77" s="49"/>
      <c r="B77" s="55" t="s">
        <v>13</v>
      </c>
      <c r="C77" s="56" t="s">
        <v>90</v>
      </c>
      <c r="D77" s="57"/>
      <c r="E77" s="57"/>
      <c r="F77" s="57"/>
      <c r="G77" s="57"/>
      <c r="H77" s="57"/>
      <c r="I77" s="57"/>
      <c r="J77" s="57"/>
      <c r="K77" s="58"/>
    </row>
    <row r="78" spans="1:11" s="50" customFormat="1" x14ac:dyDescent="0.25">
      <c r="A78" s="49"/>
      <c r="B78" s="48" t="s">
        <v>91</v>
      </c>
      <c r="C78" s="50" t="s">
        <v>92</v>
      </c>
      <c r="D78" s="52"/>
      <c r="E78" s="52"/>
      <c r="F78" s="52"/>
      <c r="G78" s="52"/>
      <c r="H78" s="52"/>
      <c r="I78" s="52"/>
      <c r="J78" s="52"/>
      <c r="K78" s="52"/>
    </row>
    <row r="79" spans="1:11" s="50" customFormat="1" ht="15" customHeight="1" x14ac:dyDescent="0.25">
      <c r="A79" s="49"/>
      <c r="B79" s="48" t="s">
        <v>93</v>
      </c>
      <c r="C79" s="50" t="s">
        <v>92</v>
      </c>
      <c r="D79" s="54"/>
      <c r="E79" s="54"/>
      <c r="F79" s="54"/>
      <c r="G79" s="54"/>
      <c r="H79" s="54"/>
      <c r="I79" s="54"/>
      <c r="J79" s="54"/>
      <c r="K79" s="52"/>
    </row>
    <row r="80" spans="1:11" s="50" customFormat="1" ht="15" customHeight="1" x14ac:dyDescent="0.25">
      <c r="A80" s="49"/>
      <c r="B80" s="48" t="s">
        <v>94</v>
      </c>
      <c r="C80" s="50" t="s">
        <v>92</v>
      </c>
      <c r="D80" s="54"/>
      <c r="E80" s="54"/>
      <c r="F80" s="54"/>
      <c r="G80" s="54"/>
      <c r="H80" s="54"/>
      <c r="I80" s="54"/>
      <c r="J80" s="54"/>
      <c r="K80" s="52"/>
    </row>
    <row r="81" spans="1:11" s="50" customFormat="1" ht="15" customHeight="1" x14ac:dyDescent="0.25">
      <c r="A81" s="49"/>
      <c r="B81" s="48" t="s">
        <v>95</v>
      </c>
      <c r="C81" s="50" t="s">
        <v>92</v>
      </c>
      <c r="D81" s="54"/>
      <c r="E81" s="54"/>
      <c r="F81" s="54"/>
      <c r="G81" s="54"/>
      <c r="H81" s="54"/>
      <c r="I81" s="54"/>
      <c r="J81" s="54"/>
      <c r="K81" s="52"/>
    </row>
    <row r="82" spans="1:11" s="50" customFormat="1" ht="15" customHeight="1" x14ac:dyDescent="0.25">
      <c r="A82" s="49"/>
      <c r="B82" s="48" t="s">
        <v>96</v>
      </c>
      <c r="C82" s="50" t="s">
        <v>92</v>
      </c>
      <c r="D82" s="54"/>
      <c r="E82" s="54"/>
      <c r="F82" s="54"/>
      <c r="G82" s="54"/>
      <c r="H82" s="54"/>
      <c r="I82" s="54"/>
      <c r="J82" s="54"/>
      <c r="K82" s="52"/>
    </row>
    <row r="83" spans="1:11" s="50" customFormat="1" ht="15" customHeight="1" thickBot="1" x14ac:dyDescent="0.3">
      <c r="A83" s="49"/>
      <c r="B83" s="55" t="s">
        <v>97</v>
      </c>
      <c r="C83" s="61" t="str">
        <f>IF(D20="","% do valor do salário motorista e monitor. Valor apurado por estudo da Universidade Federal de Minas Gerais - UFMG.",D20*100&amp;"% do valor do salário motorista e monitor. Valor apurado por estudo da Universidade Federal de Minas Gerais - UFMG.")</f>
        <v>% do valor do salário motorista e monitor. Valor apurado por estudo da Universidade Federal de Minas Gerais - UFMG.</v>
      </c>
      <c r="D83" s="58"/>
      <c r="E83" s="58"/>
      <c r="F83" s="58"/>
      <c r="G83" s="58"/>
      <c r="H83" s="58"/>
      <c r="I83" s="58"/>
      <c r="J83" s="58"/>
      <c r="K83" s="58"/>
    </row>
    <row r="84" spans="1:11" s="50" customFormat="1" x14ac:dyDescent="0.25">
      <c r="A84" s="49"/>
      <c r="B84" s="48" t="s">
        <v>98</v>
      </c>
      <c r="C84" s="53" t="s">
        <v>99</v>
      </c>
      <c r="D84" s="52"/>
      <c r="E84" s="52"/>
      <c r="F84" s="52"/>
      <c r="G84" s="52"/>
      <c r="H84" s="52"/>
      <c r="I84" s="52"/>
      <c r="J84" s="52"/>
      <c r="K84" s="52"/>
    </row>
    <row r="85" spans="1:11" s="50" customFormat="1" x14ac:dyDescent="0.25">
      <c r="A85" s="49"/>
      <c r="B85" s="48" t="s">
        <v>100</v>
      </c>
      <c r="C85" s="50" t="s">
        <v>101</v>
      </c>
      <c r="D85" s="52"/>
      <c r="E85" s="52"/>
      <c r="F85" s="52"/>
      <c r="G85" s="52"/>
      <c r="H85" s="52"/>
      <c r="I85" s="52"/>
      <c r="J85" s="52"/>
    </row>
    <row r="86" spans="1:11" s="50" customFormat="1" x14ac:dyDescent="0.25">
      <c r="A86" s="49"/>
      <c r="B86" s="48" t="s">
        <v>102</v>
      </c>
      <c r="C86" s="50" t="s">
        <v>103</v>
      </c>
      <c r="D86" s="52"/>
      <c r="E86" s="52"/>
      <c r="F86" s="52"/>
      <c r="G86" s="52"/>
      <c r="H86" s="52"/>
      <c r="I86" s="52"/>
      <c r="J86" s="52"/>
    </row>
    <row r="87" spans="1:11" s="50" customFormat="1" x14ac:dyDescent="0.25">
      <c r="A87" s="49"/>
      <c r="B87" s="48" t="s">
        <v>104</v>
      </c>
      <c r="C87" s="50" t="s">
        <v>105</v>
      </c>
      <c r="D87" s="52"/>
      <c r="E87" s="52"/>
      <c r="F87" s="52"/>
      <c r="G87" s="52"/>
      <c r="H87" s="52"/>
      <c r="I87" s="52"/>
      <c r="J87" s="52"/>
    </row>
    <row r="88" spans="1:11" s="50" customFormat="1" ht="15.75" thickBot="1" x14ac:dyDescent="0.3">
      <c r="A88" s="49"/>
      <c r="B88" s="55" t="s">
        <v>106</v>
      </c>
      <c r="C88" s="56" t="s">
        <v>107</v>
      </c>
      <c r="D88" s="58"/>
      <c r="E88" s="58"/>
      <c r="F88" s="58"/>
      <c r="G88" s="58"/>
      <c r="H88" s="58"/>
      <c r="I88" s="58"/>
      <c r="J88" s="58"/>
      <c r="K88" s="56"/>
    </row>
    <row r="89" spans="1:11" s="50" customFormat="1" x14ac:dyDescent="0.25">
      <c r="A89" s="49"/>
      <c r="B89" s="59" t="s">
        <v>108</v>
      </c>
      <c r="C89" s="99" t="str">
        <f>G24*100&amp;"% do total das despesas."</f>
        <v>0% do total das despesas.</v>
      </c>
      <c r="D89" s="99"/>
      <c r="E89" s="99"/>
      <c r="F89" s="99"/>
      <c r="G89" s="99"/>
      <c r="H89" s="99"/>
      <c r="I89" s="99"/>
      <c r="J89" s="99"/>
      <c r="K89" s="99"/>
    </row>
    <row r="90" spans="1:11" s="50" customFormat="1" ht="14.25" customHeight="1" thickBot="1" x14ac:dyDescent="0.3">
      <c r="A90" s="49"/>
      <c r="B90" s="55" t="s">
        <v>109</v>
      </c>
      <c r="C90" s="62" t="s">
        <v>110</v>
      </c>
      <c r="D90" s="58"/>
      <c r="E90" s="58"/>
      <c r="F90" s="58"/>
      <c r="G90" s="58"/>
      <c r="H90" s="58"/>
      <c r="I90" s="58"/>
      <c r="J90" s="58"/>
      <c r="K90" s="56"/>
    </row>
    <row r="91" spans="1:11" s="50" customFormat="1" x14ac:dyDescent="0.25">
      <c r="A91" s="49"/>
      <c r="B91" s="48" t="s">
        <v>111</v>
      </c>
      <c r="C91" s="50" t="str">
        <f>B24*100 &amp; "% referente ao Programa de Integração Social - PIS."</f>
        <v>0% referente ao Programa de Integração Social - PIS.</v>
      </c>
      <c r="D91" s="52"/>
      <c r="E91" s="52"/>
      <c r="F91" s="52"/>
      <c r="G91" s="52"/>
      <c r="H91" s="52"/>
      <c r="I91" s="52"/>
      <c r="J91" s="52"/>
    </row>
    <row r="92" spans="1:11" s="50" customFormat="1" x14ac:dyDescent="0.25">
      <c r="A92" s="49"/>
      <c r="B92" s="48" t="s">
        <v>112</v>
      </c>
      <c r="C92" s="50" t="str">
        <f>C24*100 &amp; "% referente a Contribuição para o Financiamento da Seguridade Social - COFINS."</f>
        <v>0% referente a Contribuição para o Financiamento da Seguridade Social - COFINS.</v>
      </c>
      <c r="D92" s="52"/>
      <c r="E92" s="52"/>
      <c r="F92" s="52"/>
      <c r="G92" s="52"/>
      <c r="H92" s="52"/>
      <c r="I92" s="52"/>
      <c r="J92" s="52"/>
    </row>
    <row r="93" spans="1:11" s="50" customFormat="1" x14ac:dyDescent="0.25">
      <c r="A93" s="49"/>
      <c r="B93" s="48" t="s">
        <v>113</v>
      </c>
      <c r="C93" s="50" t="str">
        <f>D24*100 &amp; "% referente ao Imposto Sobre Serviço - ISS. O valor do ISS varia de acordo com o município."</f>
        <v>0% referente ao Imposto Sobre Serviço - ISS. O valor do ISS varia de acordo com o município.</v>
      </c>
      <c r="D93" s="52"/>
      <c r="E93" s="52"/>
      <c r="F93" s="52"/>
      <c r="G93" s="52"/>
      <c r="H93" s="52"/>
      <c r="I93" s="52"/>
      <c r="J93" s="52"/>
    </row>
    <row r="94" spans="1:11" s="50" customFormat="1" ht="14.25" customHeight="1" thickBot="1" x14ac:dyDescent="0.3">
      <c r="A94" s="49"/>
      <c r="B94" s="55" t="s">
        <v>114</v>
      </c>
      <c r="C94" s="62" t="s">
        <v>115</v>
      </c>
      <c r="D94" s="58"/>
      <c r="E94" s="58"/>
      <c r="F94" s="58"/>
      <c r="G94" s="58"/>
      <c r="H94" s="58"/>
      <c r="I94" s="58"/>
      <c r="J94" s="58"/>
      <c r="K94" s="56"/>
    </row>
    <row r="95" spans="1:11" s="50" customFormat="1" x14ac:dyDescent="0.25">
      <c r="A95" s="49"/>
      <c r="B95" s="48" t="s">
        <v>116</v>
      </c>
      <c r="C95" s="63" t="s">
        <v>117</v>
      </c>
      <c r="F95" s="52"/>
      <c r="G95" s="52"/>
      <c r="H95" s="52"/>
      <c r="I95" s="52"/>
      <c r="J95" s="52"/>
    </row>
    <row r="96" spans="1:11" s="50" customFormat="1" x14ac:dyDescent="0.25">
      <c r="A96" s="49"/>
      <c r="B96" s="48" t="s">
        <v>118</v>
      </c>
      <c r="C96" s="63" t="s">
        <v>119</v>
      </c>
      <c r="D96" s="52"/>
      <c r="E96" s="52"/>
      <c r="F96" s="52"/>
      <c r="G96" s="52"/>
      <c r="H96" s="52"/>
      <c r="I96" s="52"/>
      <c r="J96" s="52"/>
    </row>
    <row r="97" spans="1:11" s="50" customFormat="1" ht="15" customHeight="1" thickBot="1" x14ac:dyDescent="0.3">
      <c r="A97" s="49"/>
      <c r="B97" s="55" t="s">
        <v>120</v>
      </c>
      <c r="C97" s="56" t="s">
        <v>121</v>
      </c>
      <c r="D97" s="57"/>
      <c r="E97" s="57"/>
      <c r="F97" s="57"/>
      <c r="G97" s="57"/>
      <c r="H97" s="57"/>
      <c r="I97" s="57"/>
      <c r="J97" s="57"/>
      <c r="K97" s="56"/>
    </row>
  </sheetData>
  <protectedRanges>
    <protectedRange sqref="F5:F7" name="Dados de Entrada 3_2_1"/>
    <protectedRange sqref="C8" name="Dados de Entrada_5_1"/>
    <protectedRange sqref="D8" name="Dados de Entrada_5_2"/>
    <protectedRange sqref="I16:K16" name="Dados de Entrada_4_1"/>
  </protectedRanges>
  <mergeCells count="34">
    <mergeCell ref="C71:K71"/>
    <mergeCell ref="C75:J75"/>
    <mergeCell ref="C76:K76"/>
    <mergeCell ref="C89:K89"/>
    <mergeCell ref="B56:E56"/>
    <mergeCell ref="B58:E58"/>
    <mergeCell ref="C65:K65"/>
    <mergeCell ref="C67:K67"/>
    <mergeCell ref="C68:J68"/>
    <mergeCell ref="C69:J69"/>
    <mergeCell ref="B54:E54"/>
    <mergeCell ref="A33:D33"/>
    <mergeCell ref="B34:E34"/>
    <mergeCell ref="B36:F36"/>
    <mergeCell ref="B38:E38"/>
    <mergeCell ref="B40:E40"/>
    <mergeCell ref="B42:E42"/>
    <mergeCell ref="B44:F44"/>
    <mergeCell ref="B46:E46"/>
    <mergeCell ref="B48:E48"/>
    <mergeCell ref="B50:E50"/>
    <mergeCell ref="B52:F52"/>
    <mergeCell ref="B32:E32"/>
    <mergeCell ref="B1:K1"/>
    <mergeCell ref="E3:H3"/>
    <mergeCell ref="G8:H8"/>
    <mergeCell ref="B10:K10"/>
    <mergeCell ref="B14:F14"/>
    <mergeCell ref="H14:K14"/>
    <mergeCell ref="B18:I18"/>
    <mergeCell ref="B22:E22"/>
    <mergeCell ref="G22:K22"/>
    <mergeCell ref="B28:F28"/>
    <mergeCell ref="B30:E30"/>
  </mergeCells>
  <printOptions horizontalCentered="1"/>
  <pageMargins left="0.51181102362204722" right="0.51181102362204722" top="0.78740157480314965" bottom="0.78740157480314965" header="0.31496062992125984" footer="0.31496062992125984"/>
  <pageSetup paperSize="9" scale="51" orientation="portrait" r:id="rId1"/>
  <headerFooter>
    <oddHeader>&amp;R&amp;D</oddHeader>
    <oddFooter>&amp;C&amp;F&amp;RPágina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08 passageiros</vt:lpstr>
      <vt:lpstr>'08 passageiros'!Area_de_impressao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SEDU</dc:creator>
  <cp:lastModifiedBy>SEDU</cp:lastModifiedBy>
  <dcterms:created xsi:type="dcterms:W3CDTF">2020-08-05T17:25:56Z</dcterms:created>
  <dcterms:modified xsi:type="dcterms:W3CDTF">2020-08-05T17:41:52Z</dcterms:modified>
</cp:coreProperties>
</file>